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5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man - Pri. Fin - ACC/"/>
    </mc:Choice>
  </mc:AlternateContent>
  <xr:revisionPtr revIDLastSave="0" documentId="13_ncr:1_{10F394E9-11A7-B747-92D3-669B1FB52A57}" xr6:coauthVersionLast="47" xr6:coauthVersionMax="47" xr10:uidLastSave="{00000000-0000-0000-0000-000000000000}"/>
  <bookViews>
    <workbookView xWindow="880" yWindow="500" windowWidth="50320" windowHeight="30740" activeTab="1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19" i="34" l="1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17" i="24"/>
  <c r="D208" i="24"/>
  <c r="C208" i="24"/>
  <c r="E152" i="24"/>
  <c r="E151" i="24"/>
  <c r="E111" i="24"/>
  <c r="E113" i="24" s="1"/>
  <c r="G72" i="24"/>
  <c r="C73" i="24" s="1"/>
  <c r="D65" i="24"/>
  <c r="F73" i="24" s="1"/>
  <c r="C493" i="22"/>
  <c r="C492" i="22"/>
  <c r="C495" i="22" s="1"/>
  <c r="E500" i="22" s="1"/>
  <c r="G493" i="22"/>
  <c r="G494" i="22" s="1"/>
  <c r="C404" i="22"/>
  <c r="C374" i="22"/>
  <c r="B170" i="22"/>
  <c r="G192" i="22"/>
  <c r="G193" i="22" s="1"/>
  <c r="C197" i="22" s="1"/>
  <c r="B191" i="22"/>
  <c r="C196" i="22" s="1"/>
  <c r="E145" i="22"/>
  <c r="G105" i="22"/>
  <c r="B103" i="22"/>
  <c r="G69" i="22"/>
  <c r="C69" i="22"/>
  <c r="E214" i="18"/>
  <c r="E212" i="18"/>
  <c r="F115" i="18"/>
  <c r="D115" i="18"/>
  <c r="C115" i="18" s="1"/>
  <c r="E115" i="18"/>
  <c r="C102" i="18"/>
  <c r="E27" i="18"/>
  <c r="F28" i="18"/>
  <c r="E29" i="18" s="1"/>
  <c r="F135" i="35"/>
  <c r="D109" i="35"/>
  <c r="E111" i="35"/>
  <c r="D113" i="35" s="1"/>
  <c r="B110" i="35"/>
  <c r="B111" i="35" s="1"/>
  <c r="B112" i="35" s="1"/>
  <c r="C86" i="35"/>
  <c r="B88" i="35" s="1"/>
  <c r="B86" i="35" s="1"/>
  <c r="D21" i="35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72" i="24"/>
  <c r="D478" i="24" s="1"/>
  <c r="D479" i="24" s="1"/>
  <c r="B69" i="22"/>
  <c r="D207" i="34" l="1"/>
  <c r="G208" i="24"/>
  <c r="C209" i="24"/>
  <c r="D209" i="24"/>
  <c r="D210" i="24" s="1"/>
  <c r="D211" i="24" s="1"/>
  <c r="D212" i="24" s="1"/>
  <c r="D213" i="24" s="1"/>
  <c r="D214" i="24" s="1"/>
  <c r="D215" i="24" s="1"/>
  <c r="D216" i="24" s="1"/>
  <c r="D217" i="24" s="1"/>
  <c r="D218" i="24" s="1"/>
  <c r="D219" i="24" s="1"/>
  <c r="F74" i="24"/>
  <c r="E73" i="24"/>
  <c r="D73" i="24" s="1"/>
  <c r="G73" i="24" s="1"/>
  <c r="C74" i="24" s="1"/>
  <c r="E28" i="18"/>
  <c r="D111" i="35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62" i="24"/>
  <c r="D456" i="24"/>
  <c r="D465" i="24" s="1"/>
  <c r="D405" i="24"/>
  <c r="D407" i="24" s="1"/>
  <c r="D410" i="24" s="1"/>
  <c r="D411" i="24" s="1"/>
  <c r="D415" i="24" s="1"/>
  <c r="D394" i="24"/>
  <c r="D396" i="24" s="1"/>
  <c r="D399" i="24" s="1"/>
  <c r="D400" i="24" s="1"/>
  <c r="D363" i="24"/>
  <c r="D369" i="24" s="1"/>
  <c r="D374" i="24"/>
  <c r="D375" i="24"/>
  <c r="D372" i="24"/>
  <c r="D367" i="24"/>
  <c r="F335" i="24"/>
  <c r="F343" i="24" s="1"/>
  <c r="F333" i="24"/>
  <c r="F336" i="24"/>
  <c r="E320" i="24"/>
  <c r="C320" i="24"/>
  <c r="B320" i="24"/>
  <c r="B321" i="24" s="1"/>
  <c r="B322" i="24" s="1"/>
  <c r="B323" i="24" s="1"/>
  <c r="B324" i="24" s="1"/>
  <c r="B325" i="24" s="1"/>
  <c r="D312" i="24"/>
  <c r="D314" i="24" s="1"/>
  <c r="C288" i="24"/>
  <c r="B288" i="24"/>
  <c r="C247" i="24"/>
  <c r="G246" i="24"/>
  <c r="A199" i="24"/>
  <c r="E208" i="24" s="1"/>
  <c r="F208" i="24" s="1"/>
  <c r="E147" i="24"/>
  <c r="E154" i="24" s="1"/>
  <c r="E153" i="24" s="1"/>
  <c r="E120" i="24"/>
  <c r="E119" i="24"/>
  <c r="E129" i="24" s="1"/>
  <c r="E117" i="24"/>
  <c r="E127" i="24" s="1"/>
  <c r="E118" i="24"/>
  <c r="E128" i="24" s="1"/>
  <c r="E266" i="22"/>
  <c r="E258" i="22"/>
  <c r="G319" i="22"/>
  <c r="G320" i="22" s="1"/>
  <c r="C327" i="22" s="1"/>
  <c r="B318" i="22"/>
  <c r="C326" i="22" s="1"/>
  <c r="E287" i="22"/>
  <c r="G217" i="22"/>
  <c r="B215" i="22"/>
  <c r="C353" i="22"/>
  <c r="G354" i="22"/>
  <c r="G355" i="22" s="1"/>
  <c r="E187" i="18"/>
  <c r="H426" i="35"/>
  <c r="C428" i="35"/>
  <c r="C429" i="35" s="1"/>
  <c r="C430" i="35" s="1"/>
  <c r="H200" i="35"/>
  <c r="F202" i="35" s="1"/>
  <c r="C190" i="35"/>
  <c r="C191" i="35" s="1"/>
  <c r="C192" i="35" s="1"/>
  <c r="C193" i="35" s="1"/>
  <c r="H189" i="35"/>
  <c r="F191" i="35" s="1"/>
  <c r="J148" i="35"/>
  <c r="I150" i="35" s="1"/>
  <c r="J138" i="35"/>
  <c r="J137" i="35" s="1"/>
  <c r="I139" i="35" s="1"/>
  <c r="F139" i="35" s="1"/>
  <c r="F138" i="35" s="1"/>
  <c r="K125" i="35"/>
  <c r="K126" i="35" s="1"/>
  <c r="K127" i="35" s="1"/>
  <c r="K128" i="35" s="1"/>
  <c r="I125" i="35"/>
  <c r="D403" i="35"/>
  <c r="D391" i="35"/>
  <c r="D395" i="35" s="1"/>
  <c r="E357" i="35"/>
  <c r="D359" i="35" s="1"/>
  <c r="D357" i="35" s="1"/>
  <c r="C359" i="35" s="1"/>
  <c r="C357" i="35" s="1"/>
  <c r="B333" i="35"/>
  <c r="B332" i="35"/>
  <c r="B312" i="35"/>
  <c r="B313" i="35" s="1"/>
  <c r="B314" i="35" s="1"/>
  <c r="B315" i="35" s="1"/>
  <c r="B316" i="35" s="1"/>
  <c r="B317" i="35" s="1"/>
  <c r="B318" i="35" s="1"/>
  <c r="B319" i="35" s="1"/>
  <c r="B320" i="35" s="1"/>
  <c r="C311" i="35"/>
  <c r="B303" i="35"/>
  <c r="B304" i="35" s="1"/>
  <c r="D311" i="35" s="1"/>
  <c r="B294" i="35"/>
  <c r="F271" i="35"/>
  <c r="F260" i="35"/>
  <c r="F261" i="35" s="1"/>
  <c r="F274" i="35" s="1"/>
  <c r="B219" i="35"/>
  <c r="B220" i="35" s="1"/>
  <c r="B221" i="35" s="1"/>
  <c r="C230" i="35" s="1"/>
  <c r="C229" i="35" s="1"/>
  <c r="G218" i="35" s="1"/>
  <c r="D45" i="35"/>
  <c r="D46" i="35" s="1"/>
  <c r="D30" i="35"/>
  <c r="C193" i="13"/>
  <c r="C194" i="13"/>
  <c r="C139" i="13"/>
  <c r="E109" i="13"/>
  <c r="E112" i="13" s="1"/>
  <c r="D113" i="13" s="1"/>
  <c r="D112" i="13" s="1"/>
  <c r="C113" i="13" s="1"/>
  <c r="C112" i="13" s="1"/>
  <c r="B113" i="13" s="1"/>
  <c r="B112" i="13" s="1"/>
  <c r="D99" i="13"/>
  <c r="D98" i="13"/>
  <c r="D97" i="13"/>
  <c r="D96" i="13"/>
  <c r="C40" i="13"/>
  <c r="C32" i="13"/>
  <c r="E32" i="13"/>
  <c r="H97" i="13"/>
  <c r="H99" i="13"/>
  <c r="H98" i="13"/>
  <c r="H96" i="13"/>
  <c r="G209" i="24" l="1"/>
  <c r="C210" i="24" s="1"/>
  <c r="E209" i="24"/>
  <c r="F209" i="24" s="1"/>
  <c r="E132" i="24"/>
  <c r="F288" i="24"/>
  <c r="B289" i="24" s="1"/>
  <c r="D289" i="24" s="1"/>
  <c r="E74" i="24"/>
  <c r="D74" i="24" s="1"/>
  <c r="G74" i="24" s="1"/>
  <c r="C75" i="24" s="1"/>
  <c r="E122" i="24"/>
  <c r="F75" i="24"/>
  <c r="D413" i="29"/>
  <c r="F412" i="29"/>
  <c r="F408" i="29"/>
  <c r="E409" i="29"/>
  <c r="D414" i="29"/>
  <c r="D464" i="24"/>
  <c r="D368" i="24"/>
  <c r="D377" i="24"/>
  <c r="A377" i="24"/>
  <c r="F338" i="24"/>
  <c r="D288" i="24"/>
  <c r="E288" i="24" s="1"/>
  <c r="F320" i="24"/>
  <c r="F330" i="24"/>
  <c r="F329" i="24" s="1"/>
  <c r="C289" i="24"/>
  <c r="E367" i="22"/>
  <c r="F428" i="35"/>
  <c r="F427" i="35" s="1"/>
  <c r="F201" i="35"/>
  <c r="F190" i="35"/>
  <c r="F150" i="35"/>
  <c r="F149" i="35" s="1"/>
  <c r="H110" i="35"/>
  <c r="F273" i="35"/>
  <c r="B334" i="35"/>
  <c r="D312" i="35"/>
  <c r="D313" i="35" s="1"/>
  <c r="D314" i="35" s="1"/>
  <c r="D315" i="35" s="1"/>
  <c r="D316" i="35" s="1"/>
  <c r="D317" i="35" s="1"/>
  <c r="D318" i="35" s="1"/>
  <c r="D319" i="35" s="1"/>
  <c r="D320" i="35" s="1"/>
  <c r="E311" i="35"/>
  <c r="C312" i="35" s="1"/>
  <c r="D101" i="13"/>
  <c r="G210" i="24" l="1"/>
  <c r="C211" i="24" s="1"/>
  <c r="E210" i="24"/>
  <c r="F210" i="24" s="1"/>
  <c r="E75" i="24"/>
  <c r="D75" i="24" s="1"/>
  <c r="G75" i="24" s="1"/>
  <c r="C76" i="24" s="1"/>
  <c r="F76" i="24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F409" i="29"/>
  <c r="E410" i="29"/>
  <c r="E413" i="29"/>
  <c r="F321" i="24"/>
  <c r="F322" i="24" s="1"/>
  <c r="D320" i="24"/>
  <c r="G320" i="24" s="1"/>
  <c r="E289" i="24"/>
  <c r="C290" i="24"/>
  <c r="F289" i="24"/>
  <c r="B290" i="24" s="1"/>
  <c r="E312" i="35"/>
  <c r="C313" i="35" s="1"/>
  <c r="E313" i="35" s="1"/>
  <c r="C314" i="35" s="1"/>
  <c r="E314" i="35" s="1"/>
  <c r="C315" i="35" s="1"/>
  <c r="E315" i="35" s="1"/>
  <c r="C316" i="35" s="1"/>
  <c r="E316" i="35" s="1"/>
  <c r="C317" i="35" s="1"/>
  <c r="E317" i="35" s="1"/>
  <c r="C318" i="35" s="1"/>
  <c r="E318" i="35" s="1"/>
  <c r="C319" i="35" s="1"/>
  <c r="E319" i="35" s="1"/>
  <c r="C320" i="35" s="1"/>
  <c r="E320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496" i="4"/>
  <c r="F575" i="4"/>
  <c r="G539" i="4"/>
  <c r="C583" i="4"/>
  <c r="C515" i="4"/>
  <c r="G211" i="24" l="1"/>
  <c r="C212" i="24" s="1"/>
  <c r="E211" i="24"/>
  <c r="F211" i="24" s="1"/>
  <c r="E76" i="24"/>
  <c r="D76" i="24" s="1"/>
  <c r="G76" i="24" s="1"/>
  <c r="C77" i="24" s="1"/>
  <c r="E77" i="24" s="1"/>
  <c r="D77" i="24" s="1"/>
  <c r="G77" i="24" s="1"/>
  <c r="C78" i="24" s="1"/>
  <c r="F410" i="29"/>
  <c r="F413" i="29" s="1"/>
  <c r="E414" i="29"/>
  <c r="C291" i="24"/>
  <c r="F290" i="24"/>
  <c r="B291" i="24" s="1"/>
  <c r="D290" i="24"/>
  <c r="E290" i="24" s="1"/>
  <c r="C321" i="24"/>
  <c r="E321" i="24"/>
  <c r="D321" i="24" s="1"/>
  <c r="F323" i="24"/>
  <c r="F324" i="24" s="1"/>
  <c r="F325" i="24" s="1"/>
  <c r="F341" i="24" s="1"/>
  <c r="F345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H187" i="4"/>
  <c r="H191" i="4" s="1"/>
  <c r="I195" i="4" s="1"/>
  <c r="E191" i="4"/>
  <c r="D189" i="4" s="1"/>
  <c r="D187" i="4"/>
  <c r="A191" i="4"/>
  <c r="B195" i="4" s="1"/>
  <c r="D162" i="4"/>
  <c r="C162" i="4" s="1"/>
  <c r="E166" i="4"/>
  <c r="D164" i="4" s="1"/>
  <c r="C125" i="4"/>
  <c r="C127" i="4" s="1"/>
  <c r="C117" i="4"/>
  <c r="C119" i="4" s="1"/>
  <c r="F94" i="4"/>
  <c r="B94" i="4" s="1"/>
  <c r="C82" i="4"/>
  <c r="E45" i="4"/>
  <c r="B45" i="4"/>
  <c r="D53" i="4" s="1"/>
  <c r="B30" i="4"/>
  <c r="E319" i="4"/>
  <c r="E320" i="4"/>
  <c r="E212" i="24" l="1"/>
  <c r="F212" i="24" s="1"/>
  <c r="G212" i="24"/>
  <c r="C213" i="24" s="1"/>
  <c r="E78" i="24"/>
  <c r="D78" i="24" s="1"/>
  <c r="G78" i="24" s="1"/>
  <c r="C79" i="24" s="1"/>
  <c r="E79" i="24" s="1"/>
  <c r="D79" i="24" s="1"/>
  <c r="G79" i="24" s="1"/>
  <c r="C80" i="24" s="1"/>
  <c r="E80" i="24" s="1"/>
  <c r="D80" i="24" s="1"/>
  <c r="G80" i="24" s="1"/>
  <c r="C81" i="24" s="1"/>
  <c r="B80" i="4"/>
  <c r="B82" i="4" s="1"/>
  <c r="F414" i="29"/>
  <c r="F291" i="24"/>
  <c r="B292" i="24" s="1"/>
  <c r="D291" i="24"/>
  <c r="E291" i="24" s="1"/>
  <c r="G321" i="24"/>
  <c r="C292" i="24"/>
  <c r="C224" i="4"/>
  <c r="D191" i="4"/>
  <c r="E195" i="4" s="1"/>
  <c r="D166" i="4"/>
  <c r="C164" i="4" s="1"/>
  <c r="C166" i="4" s="1"/>
  <c r="D96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E429" i="34"/>
  <c r="J452" i="4"/>
  <c r="J462" i="4"/>
  <c r="J457" i="4"/>
  <c r="H417" i="4"/>
  <c r="E213" i="24" l="1"/>
  <c r="F213" i="24" s="1"/>
  <c r="G213" i="24"/>
  <c r="C214" i="24" s="1"/>
  <c r="E81" i="24"/>
  <c r="D81" i="24" s="1"/>
  <c r="G81" i="24" s="1"/>
  <c r="C82" i="24" s="1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22" i="24"/>
  <c r="D322" i="24" s="1"/>
  <c r="C322" i="24"/>
  <c r="F292" i="24"/>
  <c r="B293" i="24" s="1"/>
  <c r="D292" i="24"/>
  <c r="E292" i="24" s="1"/>
  <c r="C293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G322" i="24" l="1"/>
  <c r="E214" i="24"/>
  <c r="F214" i="24" s="1"/>
  <c r="G214" i="24"/>
  <c r="C215" i="24" s="1"/>
  <c r="E82" i="24"/>
  <c r="D82" i="24" s="1"/>
  <c r="G82" i="24" s="1"/>
  <c r="C83" i="24" s="1"/>
  <c r="E83" i="24" s="1"/>
  <c r="D83" i="24" s="1"/>
  <c r="G83" i="24" s="1"/>
  <c r="C84" i="24" s="1"/>
  <c r="F293" i="24"/>
  <c r="B294" i="24" s="1"/>
  <c r="D293" i="24"/>
  <c r="E293" i="24" s="1"/>
  <c r="E323" i="24"/>
  <c r="D323" i="24" s="1"/>
  <c r="C323" i="24"/>
  <c r="C294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5" i="24" l="1"/>
  <c r="F215" i="24" s="1"/>
  <c r="G215" i="24"/>
  <c r="C216" i="24" s="1"/>
  <c r="E84" i="24"/>
  <c r="D84" i="24" s="1"/>
  <c r="G84" i="24"/>
  <c r="C85" i="24" s="1"/>
  <c r="G323" i="24"/>
  <c r="C324" i="24" s="1"/>
  <c r="E324" i="24"/>
  <c r="D324" i="24" s="1"/>
  <c r="D294" i="24"/>
  <c r="E294" i="24" s="1"/>
  <c r="F294" i="24"/>
  <c r="B295" i="24" s="1"/>
  <c r="C295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E216" i="24" l="1"/>
  <c r="F216" i="24" s="1"/>
  <c r="G216" i="24"/>
  <c r="C217" i="24" s="1"/>
  <c r="E85" i="24"/>
  <c r="D85" i="24" s="1"/>
  <c r="G85" i="24" s="1"/>
  <c r="C86" i="24" s="1"/>
  <c r="G324" i="24"/>
  <c r="E325" i="24" s="1"/>
  <c r="D325" i="24" s="1"/>
  <c r="C296" i="24"/>
  <c r="F295" i="24"/>
  <c r="B296" i="24" s="1"/>
  <c r="D295" i="24"/>
  <c r="E295" i="24" s="1"/>
  <c r="G61" i="30"/>
  <c r="G67" i="30" s="1"/>
  <c r="D82" i="30" s="1"/>
  <c r="F67" i="30"/>
  <c r="G217" i="24" l="1"/>
  <c r="C218" i="24" s="1"/>
  <c r="E217" i="24"/>
  <c r="F217" i="24" s="1"/>
  <c r="C325" i="24"/>
  <c r="E86" i="24"/>
  <c r="D86" i="24" s="1"/>
  <c r="G86" i="24"/>
  <c r="C87" i="24" s="1"/>
  <c r="G325" i="24"/>
  <c r="C297" i="24"/>
  <c r="F296" i="24"/>
  <c r="B297" i="24" s="1"/>
  <c r="D296" i="24"/>
  <c r="E296" i="24" s="1"/>
  <c r="A99" i="30"/>
  <c r="C261" i="29"/>
  <c r="H248" i="29"/>
  <c r="H245" i="29"/>
  <c r="H246" i="29"/>
  <c r="H247" i="29"/>
  <c r="I247" i="29" s="1"/>
  <c r="B262" i="29"/>
  <c r="G218" i="24" l="1"/>
  <c r="C219" i="24" s="1"/>
  <c r="E218" i="24"/>
  <c r="F218" i="24" s="1"/>
  <c r="E87" i="24"/>
  <c r="D87" i="24" s="1"/>
  <c r="G87" i="24" s="1"/>
  <c r="C88" i="24" s="1"/>
  <c r="I245" i="29"/>
  <c r="I244" i="29"/>
  <c r="I246" i="29"/>
  <c r="I248" i="29"/>
  <c r="B261" i="29"/>
  <c r="B264" i="29"/>
  <c r="B263" i="29"/>
  <c r="F297" i="24"/>
  <c r="D297" i="24"/>
  <c r="E297" i="24"/>
  <c r="D261" i="29"/>
  <c r="D262" i="29" s="1"/>
  <c r="D263" i="29" s="1"/>
  <c r="C264" i="29" s="1"/>
  <c r="E264" i="29" s="1"/>
  <c r="G219" i="24" l="1"/>
  <c r="E219" i="24"/>
  <c r="F219" i="24" s="1"/>
  <c r="E88" i="24"/>
  <c r="D88" i="24" s="1"/>
  <c r="G88" i="24"/>
  <c r="C89" i="24" s="1"/>
  <c r="D264" i="29"/>
  <c r="E265" i="29"/>
  <c r="E89" i="24" l="1"/>
  <c r="D89" i="24" s="1"/>
  <c r="G89" i="24" s="1"/>
  <c r="C90" i="24" s="1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E90" i="24" l="1"/>
  <c r="D90" i="24" s="1"/>
  <c r="G90" i="24" s="1"/>
  <c r="C9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288" i="24"/>
  <c r="A289" i="24" s="1"/>
  <c r="C271" i="24"/>
  <c r="C270" i="24"/>
  <c r="C269" i="24"/>
  <c r="C272" i="24" s="1"/>
  <c r="C241" i="24"/>
  <c r="J238" i="24" s="1"/>
  <c r="B247" i="24"/>
  <c r="B248" i="24" s="1"/>
  <c r="B249" i="24" s="1"/>
  <c r="B250" i="24" s="1"/>
  <c r="B251" i="24" s="1"/>
  <c r="B252" i="24" s="1"/>
  <c r="B253" i="24" s="1"/>
  <c r="B254" i="24" s="1"/>
  <c r="B255" i="24" s="1"/>
  <c r="B256" i="24" s="1"/>
  <c r="B257" i="24" s="1"/>
  <c r="B258" i="24" s="1"/>
  <c r="B208" i="24"/>
  <c r="B209" i="24" s="1"/>
  <c r="B210" i="24" s="1"/>
  <c r="B211" i="24" s="1"/>
  <c r="B212" i="24" s="1"/>
  <c r="B213" i="24" s="1"/>
  <c r="B214" i="24" s="1"/>
  <c r="B215" i="24" s="1"/>
  <c r="B216" i="24" s="1"/>
  <c r="B217" i="24" s="1"/>
  <c r="B218" i="24" s="1"/>
  <c r="B21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553" i="22"/>
  <c r="C552" i="22"/>
  <c r="C551" i="22"/>
  <c r="C549" i="22"/>
  <c r="C570" i="22"/>
  <c r="E571" i="22"/>
  <c r="E572" i="22" s="1"/>
  <c r="B566" i="22"/>
  <c r="C574" i="22" s="1"/>
  <c r="D527" i="22"/>
  <c r="D528" i="22" s="1"/>
  <c r="F528" i="22"/>
  <c r="F529" i="22" s="1"/>
  <c r="B522" i="22"/>
  <c r="B521" i="22"/>
  <c r="B520" i="22"/>
  <c r="B519" i="22"/>
  <c r="H478" i="22"/>
  <c r="H475" i="22"/>
  <c r="H472" i="22"/>
  <c r="H467" i="22"/>
  <c r="H464" i="22"/>
  <c r="G428" i="22"/>
  <c r="D435" i="22" s="1"/>
  <c r="B416" i="22"/>
  <c r="E122" i="18"/>
  <c r="D93" i="18"/>
  <c r="F238" i="13"/>
  <c r="E240" i="13" s="1"/>
  <c r="E238" i="13" s="1"/>
  <c r="D240" i="13" s="1"/>
  <c r="D238" i="13" s="1"/>
  <c r="C232" i="13"/>
  <c r="C196" i="13"/>
  <c r="C205" i="13"/>
  <c r="B207" i="13" s="1"/>
  <c r="B205" i="13" s="1"/>
  <c r="I196" i="13"/>
  <c r="C171" i="13"/>
  <c r="C147" i="13"/>
  <c r="C146" i="13"/>
  <c r="E73" i="13"/>
  <c r="B68" i="13"/>
  <c r="H89" i="13"/>
  <c r="G54" i="13"/>
  <c r="B398" i="4"/>
  <c r="B399" i="4" s="1"/>
  <c r="B380" i="4"/>
  <c r="E351" i="4"/>
  <c r="E352" i="4" s="1"/>
  <c r="E353" i="4" s="1"/>
  <c r="C349" i="4"/>
  <c r="B320" i="4"/>
  <c r="B319" i="4"/>
  <c r="F399" i="4"/>
  <c r="G65" i="27"/>
  <c r="B232" i="13"/>
  <c r="F398" i="4"/>
  <c r="C122" i="24"/>
  <c r="H353" i="4"/>
  <c r="H351" i="4"/>
  <c r="H349" i="4"/>
  <c r="H352" i="4"/>
  <c r="F380" i="4"/>
  <c r="G61" i="27" l="1"/>
  <c r="E91" i="24"/>
  <c r="D91" i="24" s="1"/>
  <c r="G91" i="24" s="1"/>
  <c r="C92" i="24" s="1"/>
  <c r="C67" i="26"/>
  <c r="F67" i="26" s="1"/>
  <c r="B68" i="26" s="1"/>
  <c r="D68" i="26" s="1"/>
  <c r="E68" i="26"/>
  <c r="E247" i="24"/>
  <c r="J241" i="24"/>
  <c r="F247" i="24" s="1"/>
  <c r="E70" i="13"/>
  <c r="E71" i="13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290" i="24"/>
  <c r="A291" i="24" s="1"/>
  <c r="A292" i="24" s="1"/>
  <c r="A293" i="24" s="1"/>
  <c r="A294" i="24" s="1"/>
  <c r="A295" i="24" s="1"/>
  <c r="A296" i="24" s="1"/>
  <c r="A297" i="24" s="1"/>
  <c r="D529" i="22"/>
  <c r="C143" i="13"/>
  <c r="C151" i="13" s="1"/>
  <c r="C155" i="13"/>
  <c r="E69" i="26" l="1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E92" i="24"/>
  <c r="D92" i="24" s="1"/>
  <c r="G92" i="24"/>
  <c r="C93" i="24" s="1"/>
  <c r="F248" i="24"/>
  <c r="F249" i="24" s="1"/>
  <c r="F250" i="24" s="1"/>
  <c r="F251" i="24" s="1"/>
  <c r="F252" i="24" s="1"/>
  <c r="F253" i="24" s="1"/>
  <c r="F254" i="24" s="1"/>
  <c r="F255" i="24" s="1"/>
  <c r="F256" i="24" s="1"/>
  <c r="F257" i="24" s="1"/>
  <c r="F258" i="24" s="1"/>
  <c r="D247" i="24"/>
  <c r="G247" i="24" s="1"/>
  <c r="C248" i="24" s="1"/>
  <c r="E248" i="24" s="1"/>
  <c r="D248" i="24" s="1"/>
  <c r="G248" i="24" s="1"/>
  <c r="C249" i="24" s="1"/>
  <c r="E249" i="24" s="1"/>
  <c r="D249" i="24" s="1"/>
  <c r="G249" i="24" s="1"/>
  <c r="C250" i="24" s="1"/>
  <c r="E250" i="24" s="1"/>
  <c r="D250" i="24" s="1"/>
  <c r="G250" i="24" s="1"/>
  <c r="C251" i="24" s="1"/>
  <c r="E251" i="24" s="1"/>
  <c r="D251" i="24" s="1"/>
  <c r="G251" i="24" s="1"/>
  <c r="C252" i="24" s="1"/>
  <c r="E74" i="13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C154" i="13"/>
  <c r="E93" i="24" l="1"/>
  <c r="D93" i="24" s="1"/>
  <c r="G93" i="24" s="1"/>
  <c r="C94" i="24" s="1"/>
  <c r="C69" i="26"/>
  <c r="F69" i="26" s="1"/>
  <c r="B70" i="26" s="1"/>
  <c r="D70" i="26" s="1"/>
  <c r="E252" i="24"/>
  <c r="D252" i="24" s="1"/>
  <c r="G252" i="24" s="1"/>
  <c r="C253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 s="1"/>
  <c r="B71" i="26" s="1"/>
  <c r="D71" i="26" s="1"/>
  <c r="E94" i="24"/>
  <c r="D94" i="24" s="1"/>
  <c r="G94" i="24"/>
  <c r="C95" i="24" s="1"/>
  <c r="E253" i="24"/>
  <c r="D253" i="24" s="1"/>
  <c r="G253" i="24" s="1"/>
  <c r="C254" i="24" s="1"/>
  <c r="C108" i="26"/>
  <c r="F106" i="26"/>
  <c r="B107" i="26" s="1"/>
  <c r="D106" i="26"/>
  <c r="E106" i="26" s="1"/>
  <c r="C71" i="26" l="1"/>
  <c r="F71" i="26" s="1"/>
  <c r="B72" i="26" s="1"/>
  <c r="E95" i="24"/>
  <c r="D95" i="24" s="1"/>
  <c r="G95" i="24"/>
  <c r="C96" i="24" s="1"/>
  <c r="E254" i="24"/>
  <c r="D254" i="24" s="1"/>
  <c r="G254" i="24" s="1"/>
  <c r="C255" i="24" s="1"/>
  <c r="E255" i="24" s="1"/>
  <c r="D255" i="24" s="1"/>
  <c r="G255" i="24" s="1"/>
  <c r="C256" i="24" s="1"/>
  <c r="E256" i="24" s="1"/>
  <c r="D256" i="24" s="1"/>
  <c r="G256" i="24" s="1"/>
  <c r="C257" i="24" s="1"/>
  <c r="F107" i="26"/>
  <c r="B108" i="26" s="1"/>
  <c r="D107" i="26"/>
  <c r="E107" i="26" s="1"/>
  <c r="C109" i="26"/>
  <c r="D72" i="26" l="1"/>
  <c r="C72" i="26" s="1"/>
  <c r="F72" i="26" s="1"/>
  <c r="B73" i="26" s="1"/>
  <c r="E96" i="24"/>
  <c r="D96" i="24" s="1"/>
  <c r="G96" i="24" s="1"/>
  <c r="E257" i="24"/>
  <c r="D257" i="24" s="1"/>
  <c r="G257" i="24" s="1"/>
  <c r="C258" i="24" s="1"/>
  <c r="C110" i="26"/>
  <c r="F108" i="26"/>
  <c r="B109" i="26" s="1"/>
  <c r="D108" i="26"/>
  <c r="E108" i="26" s="1"/>
  <c r="D73" i="26" l="1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58" i="24"/>
  <c r="D258" i="24" s="1"/>
  <c r="G258" i="24" s="1"/>
  <c r="F109" i="26"/>
  <c r="B110" i="26" s="1"/>
  <c r="D109" i="26"/>
  <c r="E109" i="26" s="1"/>
  <c r="C111" i="26"/>
  <c r="D76" i="26" l="1"/>
  <c r="C76" i="26" s="1"/>
  <c r="F76" i="26" s="1"/>
  <c r="B77" i="26" s="1"/>
  <c r="C112" i="26"/>
  <c r="F110" i="26"/>
  <c r="B111" i="26" s="1"/>
  <c r="D110" i="26"/>
  <c r="E110" i="26" s="1"/>
  <c r="D77" i="26" l="1"/>
  <c r="C77" i="26" s="1"/>
  <c r="F77" i="26" s="1"/>
  <c r="B78" i="26" s="1"/>
  <c r="F111" i="26"/>
  <c r="B112" i="26" s="1"/>
  <c r="D111" i="26"/>
  <c r="E111" i="26" s="1"/>
  <c r="D78" i="26" l="1"/>
  <c r="C78" i="26" s="1"/>
  <c r="F78" i="26" s="1"/>
  <c r="F112" i="26"/>
  <c r="D112" i="26"/>
  <c r="E112" i="26" s="1"/>
</calcChain>
</file>

<file path=xl/sharedStrings.xml><?xml version="1.0" encoding="utf-8"?>
<sst xmlns="http://schemas.openxmlformats.org/spreadsheetml/2006/main" count="4844" uniqueCount="3152">
  <si>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</si>
  <si>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</si>
  <si>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</si>
  <si>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</si>
  <si>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</si>
  <si>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</si>
  <si>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</si>
  <si>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</si>
  <si>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</si>
  <si>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</si>
  <si>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</si>
  <si>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</si>
  <si>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</si>
  <si>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</si>
  <si>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</si>
  <si>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</si>
  <si>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</si>
  <si>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</si>
  <si>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</si>
  <si>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</si>
  <si>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</si>
  <si>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</si>
  <si>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</si>
  <si>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</si>
  <si>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</si>
  <si>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</si>
  <si>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</si>
  <si>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</si>
  <si>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</si>
  <si>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</si>
  <si>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</si>
  <si>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</si>
  <si>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</si>
  <si>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</si>
  <si>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</si>
  <si>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</si>
  <si>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</si>
  <si>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</si>
  <si>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</si>
  <si>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</si>
  <si>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</si>
  <si>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</si>
  <si>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</si>
  <si>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</si>
  <si>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</si>
  <si>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</si>
  <si>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</si>
  <si>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</si>
  <si>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</si>
  <si>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</si>
  <si>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</si>
  <si>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</si>
  <si>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</si>
  <si>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</rPr>
      <t>בחישוב ערך עתידי של השקעות</t>
    </r>
    <r>
      <rPr>
        <sz val="11"/>
        <color theme="1"/>
        <rFont val="David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</si>
  <si>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</si>
  <si>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</si>
  <si>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</si>
  <si>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</si>
  <si>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</si>
  <si>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</si>
  <si>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</si>
  <si>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</si>
  <si>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</si>
  <si>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</si>
  <si>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</si>
  <si>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</si>
  <si>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</si>
  <si>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</si>
  <si>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</si>
  <si>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</si>
  <si>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</si>
  <si>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</si>
  <si>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</si>
  <si>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</si>
  <si>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</si>
  <si>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</si>
  <si>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</si>
  <si>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</si>
  <si>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</si>
  <si>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</si>
  <si>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</si>
  <si>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</si>
  <si>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</si>
  <si>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</si>
  <si>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</si>
  <si>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</si>
  <si>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</si>
  <si>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</si>
  <si>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</si>
  <si>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</si>
  <si>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</si>
  <si>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</si>
  <si>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</si>
  <si>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</si>
  <si>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</si>
  <si>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</si>
  <si>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</si>
  <si>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</si>
  <si>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</si>
  <si>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</si>
  <si>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</si>
  <si>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</si>
  <si>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</si>
  <si>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</si>
  <si>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</si>
  <si>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</si>
  <si>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</si>
  <si>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</si>
  <si>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</rPr>
      <t>כריבית פשוטה</t>
    </r>
    <r>
      <rPr>
        <sz val="11"/>
        <color theme="1"/>
        <rFont val="David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</si>
  <si>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</si>
  <si>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</si>
  <si>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</si>
  <si>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</si>
  <si>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</si>
  <si>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</si>
  <si>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</si>
  <si>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</si>
  <si>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</si>
  <si>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</si>
  <si>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</si>
  <si>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</si>
  <si>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</si>
  <si>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</si>
  <si>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</si>
  <si>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</si>
  <si>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</si>
  <si>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</si>
  <si>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</si>
  <si>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</si>
  <si>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</si>
  <si>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</si>
  <si>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</si>
  <si>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</si>
  <si>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</si>
  <si>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</si>
  <si>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</si>
  <si>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</si>
  <si>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</si>
  <si>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</si>
  <si>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</si>
  <si>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</si>
  <si>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</si>
  <si>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</si>
  <si>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</si>
  <si>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</si>
  <si>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</si>
  <si>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</si>
  <si>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</si>
  <si>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</si>
  <si>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</si>
  <si>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</si>
  <si>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</rPr>
      <t>PV</t>
    </r>
    <r>
      <rPr>
        <sz val="11"/>
        <color theme="1"/>
        <rFont val="David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</si>
  <si>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</si>
  <si>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</si>
  <si>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</si>
  <si>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</si>
  <si>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</si>
  <si>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</si>
  <si>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</si>
  <si>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</si>
  <si>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</si>
  <si>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</si>
  <si>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</si>
  <si>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</si>
  <si>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</si>
  <si>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</si>
  <si>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</rPr>
      <t>100,000</t>
    </r>
    <r>
      <rPr>
        <sz val="11"/>
        <color theme="1"/>
        <rFont val="David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</si>
  <si>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</si>
  <si>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</si>
  <si>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</si>
  <si>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</si>
  <si>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</si>
  <si>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</si>
  <si>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</si>
  <si>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</si>
  <si>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</si>
  <si>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</si>
  <si>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</si>
  <si>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</si>
  <si>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</si>
  <si>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</si>
  <si>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</si>
  <si>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</si>
  <si>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</si>
  <si>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</si>
  <si>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</si>
  <si>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</si>
  <si>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</si>
  <si>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</si>
  <si>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</si>
  <si>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</si>
  <si>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</si>
  <si>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</si>
  <si>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</si>
  <si>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</si>
  <si>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</si>
  <si>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</si>
  <si>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</si>
  <si>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</si>
  <si>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</si>
  <si>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</si>
  <si>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</si>
  <si>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</si>
  <si>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</si>
  <si>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</si>
  <si>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</si>
  <si>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</si>
  <si>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</si>
  <si>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</si>
  <si>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</si>
  <si>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</si>
  <si>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</si>
  <si>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</si>
  <si>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</si>
  <si>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</si>
  <si>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</si>
  <si>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</si>
  <si>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</si>
  <si>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</si>
  <si>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</si>
  <si>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</si>
  <si>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</si>
  <si>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</si>
  <si>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</si>
  <si>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</si>
  <si>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</si>
  <si>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</si>
  <si>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</si>
  <si>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</si>
  <si>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</si>
  <si>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</si>
  <si>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</si>
  <si>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</si>
  <si>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</si>
  <si>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</si>
  <si>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</si>
  <si>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</si>
  <si>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</si>
  <si>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</si>
  <si>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</si>
  <si>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</si>
  <si>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</si>
  <si>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</si>
  <si>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</si>
  <si>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</si>
  <si>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</si>
  <si>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</si>
  <si>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</si>
  <si>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</si>
  <si>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</si>
  <si>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</si>
  <si>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</si>
  <si>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</si>
  <si>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</si>
  <si>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</si>
  <si>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</si>
  <si>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</si>
  <si>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</si>
  <si>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</si>
  <si>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</si>
  <si>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</si>
  <si>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</si>
  <si>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</si>
  <si>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</si>
  <si>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</si>
  <si>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</si>
  <si>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</si>
  <si>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</si>
  <si>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</si>
  <si>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</si>
  <si>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</si>
  <si>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</si>
  <si>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</si>
  <si>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</si>
  <si>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</si>
  <si>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</si>
  <si>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</si>
  <si>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</si>
  <si>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</si>
  <si>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</si>
  <si>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</si>
  <si>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</si>
  <si>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</si>
  <si>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</si>
  <si>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</si>
  <si>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 xml:space="preserve">יחלפו מעט יותר מ-28 שנים עד לשילוש הסכום. 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</si>
  <si>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</si>
  <si>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</si>
  <si>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</si>
  <si>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</rPr>
      <t>השנתית</t>
    </r>
    <r>
      <rPr>
        <sz val="16"/>
        <rFont val="David"/>
      </rPr>
      <t xml:space="preserve"> הנדרשת?</t>
    </r>
  </si>
  <si>
    <r>
      <t>ב. מהי הריבית ה</t>
    </r>
    <r>
      <rPr>
        <b/>
        <sz val="16"/>
        <rFont val="David"/>
      </rPr>
      <t>חודשית</t>
    </r>
    <r>
      <rPr>
        <sz val="16"/>
        <rFont val="David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</si>
  <si>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</si>
  <si>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</si>
  <si>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</si>
  <si>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</si>
  <si>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</si>
  <si>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</si>
  <si>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</si>
  <si>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</si>
  <si>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</si>
  <si>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</si>
  <si>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</si>
  <si>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</si>
  <si>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</si>
  <si>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</si>
  <si>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</si>
  <si>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</si>
  <si>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</si>
  <si>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</si>
  <si>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</si>
  <si>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</si>
  <si>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</si>
  <si>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</si>
  <si>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</si>
  <si>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</si>
  <si>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</si>
  <si>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</si>
  <si>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</si>
  <si>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</si>
  <si>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r>
      <rPr>
        <b/>
        <sz val="16"/>
        <rFont val="David"/>
      </rPr>
      <t>דרך נוספת שי לא אוהב אבל מראה כי סטודנטים ביקשו ושילמו מלא כסף</t>
    </r>
    <r>
      <rPr>
        <sz val="16"/>
        <rFont val="David"/>
      </rPr>
      <t>: נחשב ערך עתידי להפקדה היום במשך 24 חודשים.</t>
    </r>
  </si>
  <si>
    <t>נוסיף בנפרד לגמרי ערך עתידי להפקדה בזמן 15 עד זמן 24:</t>
  </si>
  <si>
    <t>0...24</t>
  </si>
  <si>
    <t>חיבור הערכים - תשובה סופית: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</si>
  <si>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</si>
  <si>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</si>
  <si>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</si>
  <si>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</si>
  <si>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</si>
  <si>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</si>
  <si>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</si>
  <si>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</si>
  <si>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</si>
  <si>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</si>
  <si>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</si>
  <si>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</si>
  <si>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</si>
  <si>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</si>
  <si>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</si>
  <si>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</si>
  <si>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</si>
  <si>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</si>
  <si>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</si>
  <si>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</si>
  <si>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</si>
  <si>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</si>
  <si>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</si>
  <si>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</si>
  <si>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</si>
  <si>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</si>
  <si>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</si>
  <si>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</si>
  <si>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</si>
  <si>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</si>
  <si>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</si>
  <si>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</si>
  <si>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</si>
  <si>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</si>
  <si>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</si>
  <si>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</si>
  <si>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</si>
  <si>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</si>
  <si>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</si>
  <si>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</si>
  <si>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</si>
  <si>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</si>
  <si>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</si>
  <si>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</si>
  <si>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</si>
  <si>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</si>
  <si>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</si>
  <si>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2..5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</si>
  <si>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</si>
  <si>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</si>
  <si>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</si>
  <si>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</si>
  <si>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</si>
  <si>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</si>
  <si>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</si>
  <si>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</si>
  <si>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</si>
  <si>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</si>
  <si>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</si>
  <si>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</si>
  <si>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</si>
  <si>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</si>
  <si>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</si>
  <si>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</si>
  <si>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</si>
  <si>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</si>
  <si>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</si>
  <si>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</si>
  <si>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</si>
  <si>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</si>
  <si>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</si>
  <si>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</si>
  <si>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</si>
  <si>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</si>
  <si>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</si>
  <si>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</si>
  <si>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</si>
  <si>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</si>
  <si>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</si>
  <si>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</si>
  <si>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</si>
  <si>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</si>
  <si>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</si>
  <si>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</si>
  <si>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</si>
  <si>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</si>
  <si>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</si>
  <si>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</si>
  <si>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</si>
  <si>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</si>
  <si>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</si>
  <si>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</si>
  <si>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</si>
  <si>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</si>
  <si>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</si>
  <si>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</si>
  <si>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</si>
  <si>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</si>
  <si>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</si>
  <si>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</si>
  <si>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</si>
  <si>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</si>
  <si>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</si>
  <si>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</si>
  <si>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</si>
  <si>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</si>
  <si>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</si>
  <si>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</si>
  <si>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</si>
  <si>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</si>
  <si>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</si>
  <si>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</si>
  <si>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</si>
  <si>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</si>
  <si>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</si>
  <si>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</si>
  <si>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</si>
  <si>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</si>
  <si>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</si>
  <si>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</si>
  <si>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</si>
  <si>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</si>
  <si>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</si>
  <si>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</si>
  <si>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</si>
  <si>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</si>
  <si>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</si>
  <si>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</si>
  <si>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</si>
  <si>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</si>
  <si>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</si>
  <si>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</si>
  <si>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</si>
  <si>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</si>
  <si>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</si>
  <si>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</si>
  <si>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</si>
  <si>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</si>
  <si>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</si>
  <si>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</si>
  <si>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</si>
  <si>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</si>
  <si>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</si>
  <si>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</si>
  <si>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</si>
  <si>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</si>
  <si>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</si>
  <si>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</si>
  <si>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</si>
  <si>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</si>
  <si>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</si>
  <si>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</si>
  <si>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</si>
  <si>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</si>
  <si>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</si>
  <si>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</si>
  <si>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</si>
  <si>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</si>
  <si>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</si>
  <si>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</si>
  <si>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</si>
  <si>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</si>
  <si>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</si>
  <si>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</si>
  <si>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</si>
  <si>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</si>
  <si>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</si>
  <si>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</si>
  <si>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</si>
  <si>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</si>
  <si>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</si>
  <si>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</si>
  <si>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</si>
  <si>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</si>
  <si>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</si>
  <si>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</si>
  <si>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</si>
  <si>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</si>
  <si>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</si>
  <si>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</si>
  <si>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</si>
  <si>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</si>
  <si>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</si>
  <si>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</si>
  <si>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</si>
  <si>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</si>
  <si>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</si>
  <si>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</si>
  <si>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</si>
  <si>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</si>
  <si>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</si>
  <si>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</si>
  <si>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</si>
  <si>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</si>
  <si>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</si>
  <si>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</si>
  <si>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</si>
  <si>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</si>
  <si>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</si>
  <si>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</si>
  <si>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</si>
  <si>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</si>
  <si>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</si>
  <si>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</si>
  <si>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</si>
  <si>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</si>
  <si>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</si>
  <si>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</si>
  <si>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</si>
  <si>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</si>
  <si>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</si>
  <si>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</si>
  <si>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</si>
  <si>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</si>
  <si>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</si>
  <si>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</si>
  <si>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</si>
  <si>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</si>
  <si>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</si>
  <si>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</si>
  <si>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</rPr>
      <t>תחילה נפעל מתמטית</t>
    </r>
    <r>
      <rPr>
        <sz val="11"/>
        <color theme="1"/>
        <rFont val="David"/>
      </rPr>
      <t>:</t>
    </r>
  </si>
  <si>
    <t>זמן - שנים</t>
  </si>
  <si>
    <r>
      <rPr>
        <sz val="11"/>
        <color rgb="FFFF0000"/>
        <rFont val="David"/>
      </rPr>
      <t>1,000 * (1 + 5%)^2</t>
    </r>
    <r>
      <rPr>
        <sz val="11"/>
        <color theme="1"/>
        <rFont val="David"/>
      </rPr>
      <t xml:space="preserve"> + </t>
    </r>
    <r>
      <rPr>
        <sz val="11"/>
        <color rgb="FF0070C0"/>
        <rFont val="David"/>
      </rPr>
      <t>1,000 * (1 + 5%)^1</t>
    </r>
    <r>
      <rPr>
        <sz val="11"/>
        <color theme="1"/>
        <rFont val="David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</si>
  <si>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</si>
  <si>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</si>
  <si>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</si>
  <si>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</si>
  <si>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</si>
  <si>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</si>
  <si>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</si>
  <si>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</si>
  <si>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</si>
  <si>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</si>
  <si>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</si>
  <si>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</si>
  <si>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</si>
  <si>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</si>
  <si>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</si>
  <si>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</si>
  <si>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</si>
  <si>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</si>
  <si>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</si>
  <si>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</si>
  <si>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</si>
  <si>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</si>
  <si>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</si>
  <si>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</si>
  <si>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</si>
  <si>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</si>
  <si>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</si>
  <si>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</si>
  <si>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</si>
  <si>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</si>
  <si>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</si>
  <si>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</si>
  <si>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</si>
  <si>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</si>
  <si>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</si>
  <si>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</si>
  <si>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</si>
  <si>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</si>
  <si>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</si>
  <si>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</si>
  <si>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</si>
  <si>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</si>
  <si>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</si>
  <si>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</si>
  <si>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</si>
  <si>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</si>
  <si>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</si>
  <si>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</si>
  <si>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</si>
  <si>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</si>
  <si>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</si>
  <si>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</si>
  <si>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</si>
  <si>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</si>
  <si>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</si>
  <si>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</si>
  <si>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</si>
  <si>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</si>
  <si>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</si>
  <si>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</si>
  <si>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</si>
  <si>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</si>
  <si>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</si>
  <si>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</si>
  <si>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</si>
  <si>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</si>
  <si>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</si>
  <si>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</si>
  <si>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</si>
  <si>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</si>
  <si>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</si>
  <si>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</si>
  <si>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</si>
  <si>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</si>
  <si>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</si>
  <si>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</si>
  <si>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</si>
  <si>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</si>
  <si>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</si>
  <si>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</si>
  <si>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</si>
  <si>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</si>
  <si>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</si>
  <si>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</si>
  <si>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</si>
  <si>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</si>
  <si>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</si>
  <si>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</si>
  <si>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</si>
  <si>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</si>
  <si>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</si>
  <si>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</si>
  <si>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</si>
  <si>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</si>
  <si>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</si>
  <si>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</si>
  <si>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</si>
  <si>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</si>
  <si>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</si>
  <si>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</si>
  <si>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</si>
  <si>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</si>
  <si>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</si>
  <si>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</si>
  <si>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</si>
  <si>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</si>
  <si>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</si>
  <si>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</si>
  <si>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</si>
  <si>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</si>
  <si>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</si>
  <si>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</si>
  <si>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</si>
  <si>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</si>
  <si>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</si>
  <si>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</si>
  <si>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</si>
  <si>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</si>
  <si>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</si>
  <si>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</si>
  <si>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שיעור 3 - ערך נוכחי - 2.4.2023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</si>
  <si>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</si>
  <si>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</si>
  <si>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</si>
  <si>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</si>
  <si>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</si>
  <si>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</si>
  <si>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</si>
  <si>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</si>
  <si>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</si>
  <si>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</si>
  <si>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</si>
  <si>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</si>
  <si>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</si>
  <si>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</si>
  <si>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</si>
  <si>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</si>
  <si>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</si>
  <si>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</rPr>
      <t>שנתיים</t>
    </r>
    <r>
      <rPr>
        <sz val="11"/>
        <color theme="1"/>
        <rFont val="David"/>
      </rPr>
      <t xml:space="preserve"> </t>
    </r>
  </si>
  <si>
    <r>
      <t xml:space="preserve">צפויה להיות </t>
    </r>
    <r>
      <rPr>
        <sz val="11"/>
        <color rgb="FFFF0000"/>
        <rFont val="David"/>
      </rPr>
      <t>1,000 ש״ח</t>
    </r>
    <r>
      <rPr>
        <sz val="11"/>
        <color theme="1"/>
        <rFont val="David"/>
      </rPr>
      <t xml:space="preserve">. הריבית </t>
    </r>
    <r>
      <rPr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שהבנק מעניק בתכנית חסכון היא </t>
    </r>
    <r>
      <rPr>
        <sz val="11"/>
        <color rgb="FFFF0000"/>
        <rFont val="David"/>
      </rPr>
      <t>5%</t>
    </r>
    <r>
      <rPr>
        <sz val="11"/>
        <color theme="1"/>
        <rFont val="David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</si>
  <si>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</si>
  <si>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</si>
  <si>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</si>
  <si>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</si>
  <si>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</si>
  <si>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</rPr>
      <t>FV</t>
    </r>
    <r>
      <rPr>
        <sz val="11"/>
        <color theme="1"/>
        <rFont val="David"/>
      </rPr>
      <t xml:space="preserve">/(1+r)^n = </t>
    </r>
  </si>
  <si>
    <t>פתרון בגישה ב - פרמטרי אקסל ופונקציית PV:</t>
  </si>
  <si>
    <t>הריבית התקופתית</t>
  </si>
  <si>
    <t>מספר תקופות הריבית - כאן, ריבית שנתית, לכן: מס׳ שנים</t>
  </si>
  <si>
    <t>לא מדובר כאן בסדרה של סכומים; אלא בערך עתידי ״יחיד״</t>
  </si>
  <si>
    <t>ערך עתידי יחידני - נתון</t>
  </si>
  <si>
    <t>פרמטר רלוונטי לסדרות - תחילת תקופה / תום תקופה</t>
  </si>
  <si>
    <t xml:space="preserve">pv = </t>
  </si>
  <si>
    <r>
      <t xml:space="preserve">התקבלה תוצאה בסימן שלילי, לא מפתיע - זו </t>
    </r>
    <r>
      <rPr>
        <b/>
        <sz val="11"/>
        <color theme="1"/>
        <rFont val="David"/>
      </rPr>
      <t>הפקדה</t>
    </r>
    <r>
      <rPr>
        <sz val="11"/>
        <color theme="1"/>
        <rFont val="David"/>
      </rPr>
      <t xml:space="preserve"> נדרשת</t>
    </r>
  </si>
  <si>
    <t>שאלה 2</t>
  </si>
  <si>
    <t>שי צבאן מפעיל עסק למכירת מחשבי Macbook Air M1 באור יהודה. לאחרונה, פנה אליו סטודנט חביב (ליאור) בקורס ״יסודות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</si>
  <si>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</si>
  <si>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</si>
  <si>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</si>
  <si>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</si>
  <si>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</si>
  <si>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</si>
  <si>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</si>
  <si>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</si>
  <si>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</si>
  <si>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</si>
  <si>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</si>
  <si>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</si>
  <si>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</si>
  <si>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הערך הנוכחי של התשלום במזומן: גובהו של התשלום במזומן. לאחר הנחה. סכום זה לא ידוע. PV = x. </t>
  </si>
  <si>
    <t>מספר תקופות הריבית - כאן, ריבית חודשית, לכן: מס׳ החודשים</t>
  </si>
  <si>
    <r>
      <t xml:space="preserve">ערך עתידי יחידני - נתון - משום שזה סכום שאנחנו </t>
    </r>
    <r>
      <rPr>
        <b/>
        <sz val="11"/>
        <color theme="1"/>
        <rFont val="David"/>
      </rPr>
      <t>משלמים</t>
    </r>
    <r>
      <rPr>
        <sz val="11"/>
        <color theme="1"/>
        <rFont val="David"/>
      </rPr>
      <t xml:space="preserve"> בעתיד בעד המחשב</t>
    </r>
  </si>
  <si>
    <t>מסקנה: הערך הנוכחי של חלופת התשלומים</t>
  </si>
  <si>
    <t>כדי להיות אדיש, סכום התשלום במזומן חייב להיות זהה:</t>
  </si>
  <si>
    <t>התשלום היום בהינתן הנחת 5% יהא:</t>
  </si>
  <si>
    <t xml:space="preserve">4,000 * (1 - 5%) = </t>
  </si>
  <si>
    <t>תשלום נדחה עולה במונחי PV היום:</t>
  </si>
  <si>
    <t>כלומר לשלם עוד 4 חודשים, במונחי היום, זול יותר - נעדיף לשלם עוד 4 חודשים.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</si>
  <si>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</si>
  <si>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</si>
  <si>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</si>
  <si>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</si>
  <si>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</si>
  <si>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</si>
  <si>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</si>
  <si>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</si>
  <si>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</si>
  <si>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</si>
  <si>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</si>
  <si>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</si>
  <si>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</si>
  <si>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</si>
  <si>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</si>
  <si>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</si>
  <si>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</si>
  <si>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</si>
  <si>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</si>
  <si>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</si>
  <si>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הואיל וישנם שינויי ריבית מרובים, אין שום אפשרות ליישם PV בחישוב אחד ויחיד שיוביל לתוצאה הנדרשת.</t>
  </si>
  <si>
    <t>מה שכן אפשר... זה להיות יצירתי: לעבוד ״מהסוף להתחלה״.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</si>
  <si>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</si>
  <si>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</si>
  <si>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</si>
  <si>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</si>
  <si>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</si>
  <si>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</si>
  <si>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</si>
  <si>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</si>
  <si>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</si>
  <si>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</si>
  <si>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</si>
  <si>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</si>
  <si>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</si>
  <si>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</rPr>
      <t>צבירה</t>
    </r>
  </si>
  <si>
    <r>
      <t xml:space="preserve">זמן 4 - </t>
    </r>
    <r>
      <rPr>
        <b/>
        <sz val="11"/>
        <color theme="1"/>
        <rFont val="David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</si>
  <si>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</si>
  <si>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</si>
  <si>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</si>
  <si>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</si>
  <si>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</si>
  <si>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</si>
  <si>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</si>
  <si>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</si>
  <si>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</si>
  <si>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</si>
  <si>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</si>
  <si>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</si>
  <si>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</si>
  <si>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</si>
  <si>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</si>
  <si>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</si>
  <si>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שאלה 6 - סטודנטיות וסטודנטים, קדימה צעד עצמאית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</si>
  <si>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</si>
  <si>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</si>
  <si>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</si>
  <si>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</si>
  <si>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</si>
  <si>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</si>
  <si>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</rPr>
      <t>הריבית החודשית עומדת על 1%,</t>
    </r>
    <r>
      <rPr>
        <sz val="11"/>
        <color theme="1"/>
        <rFont val="David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</si>
  <si>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</si>
  <si>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</si>
  <si>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</si>
  <si>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</si>
  <si>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</si>
  <si>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</si>
  <si>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</si>
  <si>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</si>
  <si>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</si>
  <si>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</si>
  <si>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</si>
  <si>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</si>
  <si>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</si>
  <si>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</si>
  <si>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</si>
  <si>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</si>
  <si>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</si>
  <si>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</si>
  <si>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</si>
  <si>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</si>
  <si>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</si>
  <si>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</si>
  <si>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</si>
  <si>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</si>
  <si>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</si>
  <si>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</si>
  <si>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</si>
  <si>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</si>
  <si>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</si>
  <si>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</si>
  <si>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</si>
  <si>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</si>
  <si>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</si>
  <si>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</si>
  <si>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</si>
  <si>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</si>
  <si>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</si>
  <si>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</si>
  <si>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</si>
  <si>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</si>
  <si>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</rPr>
      <t>א.</t>
    </r>
    <r>
      <rPr>
        <sz val="12"/>
        <color theme="1"/>
        <rFont val="David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</si>
  <si>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</si>
  <si>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</si>
  <si>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</si>
  <si>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</si>
  <si>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</si>
  <si>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</si>
  <si>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</si>
  <si>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</si>
  <si>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</si>
  <si>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</si>
  <si>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</si>
  <si>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</si>
  <si>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</si>
  <si>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</si>
  <si>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</si>
  <si>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</si>
  <si>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</si>
  <si>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</si>
  <si>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</si>
  <si>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</si>
  <si>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</si>
  <si>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</si>
  <si>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</si>
  <si>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</si>
  <si>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</si>
  <si>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</si>
  <si>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</si>
  <si>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</si>
  <si>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</si>
  <si>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</si>
  <si>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</si>
  <si>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</si>
  <si>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</si>
  <si>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</si>
  <si>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</si>
  <si>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</si>
  <si>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</si>
  <si>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</si>
  <si>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</si>
  <si>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</si>
  <si>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</si>
  <si>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</si>
  <si>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</si>
  <si>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</si>
  <si>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</si>
  <si>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</si>
  <si>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</si>
  <si>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</si>
  <si>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</si>
  <si>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</si>
  <si>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</si>
  <si>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</si>
  <si>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</si>
  <si>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</si>
  <si>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</si>
  <si>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</si>
  <si>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</si>
  <si>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</si>
  <si>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</si>
  <si>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</rPr>
      <t>היום</t>
    </r>
    <r>
      <rPr>
        <sz val="12"/>
        <color theme="1"/>
        <rFont val="David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</si>
  <si>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</si>
  <si>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</si>
  <si>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</si>
  <si>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</si>
  <si>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</si>
  <si>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, שווה מאד לבנות את הציר </t>
    </r>
    <r>
      <rPr>
        <u/>
        <sz val="12"/>
        <color theme="1"/>
        <rFont val="David"/>
      </rPr>
      <t>בחודשים</t>
    </r>
  </si>
  <si>
    <t>המתנה</t>
  </si>
  <si>
    <t>תשלומים</t>
  </si>
  <si>
    <t>התשובה</t>
  </si>
  <si>
    <t>הסופית:</t>
  </si>
  <si>
    <t>שאלה 3.1</t>
  </si>
  <si>
    <t>רמה: גבוהה (מבחן) - מקביל לשאלה 5 בתרגול 4 (השאלה עם החברה ויום ההולדת)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</si>
  <si>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</si>
  <si>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</si>
  <si>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</si>
  <si>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</si>
  <si>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</si>
  <si>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</si>
  <si>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</si>
  <si>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</si>
  <si>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שלבי עבודה:</t>
  </si>
  <si>
    <t>א. הצגה ״מיני תמציתית״ של ציר / טבלה עם הערכים התזרימיים הרלוונטיים.</t>
  </si>
  <si>
    <r>
      <t xml:space="preserve">ב. שימוש במשפט: </t>
    </r>
    <r>
      <rPr>
        <b/>
        <sz val="12"/>
        <color theme="1"/>
        <rFont val="David"/>
      </rPr>
      <t>ערך נוכחי של משיכות PV</t>
    </r>
    <r>
      <rPr>
        <sz val="12"/>
        <color theme="1"/>
        <rFont val="David"/>
      </rPr>
      <t xml:space="preserve"> = ערך עתידי של הפקדות (לאותה נקודת זמן) </t>
    </r>
    <r>
      <rPr>
        <b/>
        <sz val="12"/>
        <color theme="1"/>
        <rFont val="David"/>
      </rPr>
      <t>FV</t>
    </r>
    <r>
      <rPr>
        <sz val="12"/>
        <color theme="1"/>
        <rFont val="David"/>
      </rPr>
      <t>:</t>
    </r>
  </si>
  <si>
    <t xml:space="preserve"> </t>
  </si>
  <si>
    <t>ב.1. חישוב ערך נוכחי של סדרת המשיכות לזמן 50, חישוב סדרתי של ״תחילת תקופה״.</t>
  </si>
  <si>
    <t xml:space="preserve">ב.2. הוספה (ידנית) של הסכום המיידי החד פעמי שצריך לממן בזמן 50 (עלות השובר עצמו). </t>
  </si>
  <si>
    <t xml:space="preserve">ב.3. הסכום שנוצר מחיבור ב.1 + ב.2 (ערך נוכחי של כל המימון הנדרש לזמן 50) יהיה הערך העתידי של </t>
  </si>
  <si>
    <t xml:space="preserve">     ההפקדות. מחלצים את ההפקדה השבועית הנדרשת.</t>
  </si>
  <si>
    <t>ירוקת (50)</t>
  </si>
  <si>
    <t>צהובה</t>
  </si>
  <si>
    <t>סכום ההפקדה החודשי הנדרש</t>
  </si>
  <si>
    <t>בכל אחד מ-50 השבועות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</si>
  <si>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+ 500 = </t>
    </r>
  </si>
  <si>
    <t>עד ליום הולדתה של מוריה</t>
  </si>
  <si>
    <t xml:space="preserve">וריאציה על דרך פתרון זו: להתייחס ל-12 תזרימים קבועים בתור תזרימי ״תחילת תקופה״ (מזמן 50 צפונה), ואז צריך להוסיף להם רק </t>
  </si>
  <si>
    <t>את ה-5,000 בשלב הצהוב: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</si>
  <si>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= </t>
    </r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</si>
  <si>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</si>
  <si>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</si>
  <si>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</si>
  <si>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</si>
  <si>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</si>
  <si>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</si>
  <si>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</si>
  <si>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</si>
  <si>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</si>
  <si>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</si>
  <si>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</si>
  <si>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</si>
  <si>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</si>
  <si>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</rPr>
      <t>תוספת</t>
    </r>
    <r>
      <rPr>
        <sz val="12"/>
        <color theme="1"/>
        <rFont val="David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</si>
  <si>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</si>
  <si>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</si>
  <si>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</si>
  <si>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</si>
  <si>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</si>
  <si>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</si>
  <si>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</si>
  <si>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</si>
  <si>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</si>
  <si>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</si>
  <si>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</si>
  <si>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</si>
  <si>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</si>
  <si>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</si>
  <si>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</si>
  <si>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</si>
  <si>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</si>
  <si>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</si>
  <si>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</si>
  <si>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</si>
  <si>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</si>
  <si>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</si>
  <si>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</si>
  <si>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</si>
  <si>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</si>
  <si>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</si>
  <si>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</si>
  <si>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</si>
  <si>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</si>
  <si>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</si>
  <si>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</si>
  <si>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</si>
  <si>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</si>
  <si>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</si>
  <si>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</si>
  <si>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</si>
  <si>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</si>
  <si>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</si>
  <si>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</si>
  <si>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</si>
  <si>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</si>
  <si>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</si>
  <si>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</si>
  <si>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</si>
  <si>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</si>
  <si>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</si>
  <si>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</si>
  <si>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</si>
  <si>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</si>
  <si>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</si>
  <si>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</si>
  <si>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</si>
  <si>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</si>
  <si>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</si>
  <si>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</si>
  <si>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</si>
  <si>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</si>
  <si>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</si>
  <si>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</si>
  <si>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</si>
  <si>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</si>
  <si>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</si>
  <si>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</si>
  <si>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</si>
  <si>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</si>
  <si>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</si>
  <si>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</si>
  <si>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</si>
  <si>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</si>
  <si>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</si>
  <si>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</si>
  <si>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</si>
  <si>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</si>
  <si>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</si>
  <si>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</si>
  <si>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</si>
  <si>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</si>
  <si>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</si>
  <si>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</si>
  <si>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</si>
  <si>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</si>
  <si>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</si>
  <si>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</si>
  <si>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</si>
  <si>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</si>
  <si>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</si>
  <si>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</si>
  <si>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</rPr>
      <t>בחצי השנה הראשונה</t>
    </r>
    <r>
      <rPr>
        <sz val="12"/>
        <color theme="1"/>
        <rFont val="David"/>
      </rPr>
      <t xml:space="preserve"> - השכר יהיה 10,000 ש״ח בסוף כל חודש, במשך 6 חודשים.</t>
    </r>
  </si>
  <si>
    <r>
      <rPr>
        <sz val="12"/>
        <color rgb="FF0070C0"/>
        <rFont val="David"/>
      </rPr>
      <t>בחצי השנה השניה</t>
    </r>
    <r>
      <rPr>
        <sz val="12"/>
        <color theme="1"/>
        <rFont val="David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</si>
  <si>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</rPr>
      <t>מחצית שלישית</t>
    </r>
    <r>
      <rPr>
        <sz val="12"/>
        <color theme="1"/>
        <rFont val="David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</si>
  <si>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</si>
  <si>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</si>
  <si>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</rPr>
      <t>126,774.5</t>
    </r>
    <r>
      <rPr>
        <sz val="12"/>
        <color theme="1"/>
        <rFont val="David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</si>
  <si>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</si>
  <si>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</si>
  <si>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</si>
  <si>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</si>
  <si>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</si>
  <si>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</si>
  <si>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</si>
  <si>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</si>
  <si>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</si>
  <si>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</si>
  <si>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</si>
  <si>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</si>
  <si>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</si>
  <si>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</si>
  <si>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</si>
  <si>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</si>
  <si>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</si>
  <si>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</si>
  <si>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</si>
  <si>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</si>
  <si>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</si>
  <si>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</si>
  <si>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</si>
  <si>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</si>
  <si>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</si>
  <si>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</si>
  <si>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</si>
  <si>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</si>
  <si>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</si>
  <si>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</si>
  <si>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</si>
  <si>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</si>
  <si>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</si>
  <si>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</si>
  <si>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</si>
  <si>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</si>
  <si>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</si>
  <si>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</si>
  <si>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</si>
  <si>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</si>
  <si>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</si>
  <si>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</si>
  <si>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</si>
  <si>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</si>
  <si>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</si>
  <si>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</si>
  <si>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</si>
  <si>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</si>
  <si>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</si>
  <si>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</si>
  <si>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</si>
  <si>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</si>
  <si>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</si>
  <si>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</si>
  <si>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</si>
  <si>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</si>
  <si>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</si>
  <si>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</si>
  <si>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</si>
  <si>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</si>
  <si>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</si>
  <si>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</si>
  <si>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</si>
  <si>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</si>
  <si>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</si>
  <si>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</si>
  <si>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</si>
  <si>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</si>
  <si>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</si>
  <si>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</si>
  <si>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</si>
  <si>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</si>
  <si>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</si>
  <si>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</si>
  <si>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</si>
  <si>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</si>
  <si>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</si>
  <si>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</si>
  <si>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</si>
  <si>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</si>
  <si>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</si>
  <si>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</rPr>
      <t>נקובה</t>
    </r>
    <r>
      <rPr>
        <sz val="12"/>
        <color theme="1"/>
        <rFont val="David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</si>
  <si>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</si>
  <si>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</si>
  <si>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</si>
  <si>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</si>
  <si>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</si>
  <si>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</si>
  <si>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</si>
  <si>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</si>
  <si>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</si>
  <si>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</si>
  <si>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שאלה 2 - חישוב ריבית אפקטיבית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</si>
  <si>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</si>
  <si>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</si>
  <si>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</si>
  <si>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</si>
  <si>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</si>
  <si>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</si>
  <si>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</si>
  <si>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</si>
  <si>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</rPr>
      <t>בעסקאות ״פשוטות״ שנפרעות בתשלום אחד</t>
    </r>
    <r>
      <rPr>
        <sz val="12"/>
        <color theme="1"/>
        <rFont val="David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</si>
  <si>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</si>
  <si>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</si>
  <si>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</si>
  <si>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</si>
  <si>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</si>
  <si>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</si>
  <si>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</si>
  <si>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</si>
  <si>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</si>
  <si>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</si>
  <si>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</si>
  <si>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</si>
  <si>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</si>
  <si>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</rPr>
      <t>שונים</t>
    </r>
    <r>
      <rPr>
        <sz val="12"/>
        <color theme="1"/>
        <rFont val="David"/>
      </rPr>
      <t xml:space="preserve">. </t>
    </r>
  </si>
  <si>
    <t>שאלה 3 - חישוב ריבית אפקטיבית בהתחשב בריבית דריבית</t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</si>
  <si>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</si>
  <si>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</si>
  <si>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</si>
  <si>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</si>
  <si>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</si>
  <si>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</si>
  <si>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</si>
  <si>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</si>
  <si>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</si>
  <si>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</si>
  <si>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</si>
  <si>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</si>
  <si>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</si>
  <si>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</si>
  <si>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</si>
  <si>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</si>
  <si>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</si>
  <si>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</si>
  <si>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</si>
  <si>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</si>
  <si>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</si>
  <si>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</si>
  <si>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</si>
  <si>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</si>
  <si>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</si>
  <si>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</si>
  <si>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</si>
  <si>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</si>
  <si>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</si>
  <si>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</si>
  <si>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</si>
  <si>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</si>
  <si>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</si>
  <si>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</rPr>
      <t>,</t>
    </r>
    <r>
      <rPr>
        <sz val="12"/>
        <color theme="1"/>
        <rFont val="David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</si>
  <si>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</si>
  <si>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</si>
  <si>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</si>
  <si>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</si>
  <si>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</si>
  <si>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מהי הריבית הנקובה השנתית. </t>
    </r>
    <r>
      <rPr>
        <b/>
        <sz val="12"/>
        <color rgb="FFFF0000"/>
        <rFont val="David"/>
      </rPr>
      <t>(ב)</t>
    </r>
    <r>
      <rPr>
        <sz val="12"/>
        <color theme="1"/>
        <rFont val="David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</si>
  <si>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כדי לחשב את </t>
    </r>
    <r>
      <rPr>
        <b/>
        <u/>
        <sz val="12"/>
        <color theme="1"/>
        <rFont val="David"/>
      </rPr>
      <t>הריבית הנקובה השנתית</t>
    </r>
    <r>
      <rPr>
        <sz val="12"/>
        <color theme="1"/>
        <rFont val="David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</si>
  <si>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</si>
  <si>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</si>
  <si>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</si>
  <si>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19.5618% = (1 + x/12)^12 - 1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</si>
  <si>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</si>
  <si>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</si>
  <si>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</si>
  <si>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</si>
  <si>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</rPr>
      <t>(ב)</t>
    </r>
    <r>
      <rPr>
        <b/>
        <sz val="12"/>
        <color theme="1"/>
        <rFont val="David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</si>
  <si>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</si>
  <si>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</si>
  <si>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r>
      <t xml:space="preserve">re = (1 + 19.5618%)^(1/12) - 1 = </t>
    </r>
    <r>
      <rPr>
        <b/>
        <sz val="12"/>
        <color theme="1"/>
        <rFont val="David"/>
      </rPr>
      <t>1.5%</t>
    </r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</si>
  <si>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</si>
  <si>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</rPr>
      <t>הריבית הנקובה</t>
    </r>
    <r>
      <rPr>
        <sz val="12"/>
        <color theme="1"/>
        <rFont val="David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</si>
  <si>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</rPr>
      <t>הריבית האפקטיבית</t>
    </r>
    <r>
      <rPr>
        <sz val="12"/>
        <color theme="1"/>
        <rFont val="David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</si>
  <si>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</si>
  <si>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</rPr>
      <t>נקובה שנתית</t>
    </r>
    <r>
      <rPr>
        <sz val="12"/>
        <color theme="1"/>
        <rFont val="David"/>
      </rPr>
      <t xml:space="preserve"> בשיעור 9%, אשר מחושבת על </t>
    </r>
    <r>
      <rPr>
        <sz val="12"/>
        <color theme="5"/>
        <rFont val="David"/>
      </rPr>
      <t>בסיס רבעוני</t>
    </r>
    <r>
      <rPr>
        <sz val="12"/>
        <color theme="1"/>
        <rFont val="David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</si>
  <si>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</si>
  <si>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</si>
  <si>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</si>
  <si>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</si>
  <si>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</si>
  <si>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</si>
  <si>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</si>
  <si>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</si>
  <si>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</si>
  <si>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</si>
  <si>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</si>
  <si>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</si>
  <si>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</si>
  <si>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</si>
  <si>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</si>
  <si>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</si>
  <si>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</si>
  <si>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</si>
  <si>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</si>
  <si>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</si>
  <si>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</si>
  <si>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</si>
  <si>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</si>
  <si>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</si>
  <si>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</si>
  <si>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</si>
  <si>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</si>
  <si>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</si>
  <si>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</si>
  <si>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</si>
  <si>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</si>
  <si>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</si>
  <si>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</si>
  <si>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</si>
  <si>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</si>
  <si>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</si>
  <si>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</si>
  <si>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</si>
  <si>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</si>
  <si>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</si>
  <si>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</si>
  <si>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</si>
  <si>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</si>
  <si>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</si>
  <si>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</si>
  <si>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</si>
  <si>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</si>
  <si>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</si>
  <si>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</si>
  <si>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</si>
  <si>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</si>
  <si>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</si>
  <si>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</rPr>
      <t xml:space="preserve">, </t>
    </r>
    <r>
      <rPr>
        <sz val="12"/>
        <color theme="1"/>
        <rFont val="David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</si>
  <si>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</si>
  <si>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</si>
  <si>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</si>
  <si>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</si>
  <si>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</si>
  <si>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</si>
  <si>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</si>
  <si>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</rPr>
      <t>המשולמת מראש</t>
    </r>
    <r>
      <rPr>
        <sz val="12"/>
        <color theme="1"/>
        <rFont val="David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</si>
  <si>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</si>
  <si>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</si>
  <si>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</si>
  <si>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</si>
  <si>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</si>
  <si>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</si>
  <si>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</si>
  <si>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</si>
  <si>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</si>
  <si>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</si>
  <si>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</si>
  <si>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</si>
  <si>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</si>
  <si>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</si>
  <si>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</si>
  <si>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</si>
  <si>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</si>
  <si>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</si>
  <si>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</si>
  <si>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</si>
  <si>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</si>
  <si>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אם נתון </t>
    </r>
    <r>
      <rPr>
        <u/>
        <sz val="12"/>
        <color theme="1"/>
        <rFont val="David"/>
      </rPr>
      <t>שהריבית האפקטיבית השנתית היא 9.5%</t>
    </r>
    <r>
      <rPr>
        <sz val="12"/>
        <color theme="1"/>
        <rFont val="David"/>
      </rPr>
      <t xml:space="preserve"> (תשובה: 0.7592%)</t>
    </r>
  </si>
  <si>
    <r>
      <rPr>
        <b/>
        <sz val="12"/>
        <color rgb="FFFF0000"/>
        <rFont val="David"/>
      </rPr>
      <t>הואיל והריבית הנתונה אפקטיבית</t>
    </r>
    <r>
      <rPr>
        <b/>
        <sz val="12"/>
        <color theme="1"/>
        <rFont val="David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</si>
  <si>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</si>
  <si>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</rPr>
      <t xml:space="preserve">re = (1 + r)^(m) - 1 </t>
    </r>
    <r>
      <rPr>
        <sz val="12"/>
        <color theme="1"/>
        <rFont val="David"/>
      </rPr>
      <t xml:space="preserve">= (1 + 9.5%)^(1/12) - 1 = </t>
    </r>
    <r>
      <rPr>
        <b/>
        <sz val="12"/>
        <color theme="1"/>
        <rFont val="David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</si>
  <si>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</si>
  <si>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</si>
  <si>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</si>
  <si>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</si>
  <si>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</si>
  <si>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</si>
  <si>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</si>
  <si>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</si>
  <si>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</si>
  <si>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</si>
  <si>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</si>
  <si>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</si>
  <si>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</si>
  <si>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</si>
  <si>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</si>
  <si>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</si>
  <si>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</si>
  <si>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</si>
  <si>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</si>
  <si>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</si>
  <si>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</si>
  <si>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</si>
  <si>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</si>
  <si>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</si>
  <si>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</si>
  <si>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</si>
  <si>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</si>
  <si>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</si>
  <si>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</rPr>
      <t>עליכם לחשב את הריבית האפקטיבית השנתית</t>
    </r>
    <r>
      <rPr>
        <b/>
        <sz val="11"/>
        <color theme="1"/>
        <rFont val="David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</si>
  <si>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</rPr>
      <t>Pt</t>
    </r>
    <r>
      <rPr>
        <b/>
        <sz val="11"/>
        <color theme="1"/>
        <rFont val="David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</si>
  <si>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</si>
  <si>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</si>
  <si>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</si>
  <si>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</si>
  <si>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</si>
  <si>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</si>
  <si>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</rPr>
      <t>ללא</t>
    </r>
    <r>
      <rPr>
        <sz val="11"/>
        <color theme="1"/>
        <rFont val="David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</si>
  <si>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</si>
  <si>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</si>
  <si>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</si>
  <si>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</rPr>
      <t>4,247</t>
    </r>
    <r>
      <rPr>
        <sz val="11"/>
        <color theme="1"/>
        <rFont val="David"/>
      </rPr>
      <t xml:space="preserve"> / </t>
    </r>
    <r>
      <rPr>
        <b/>
        <sz val="11"/>
        <color rgb="FFFF0000"/>
        <rFont val="David"/>
      </rPr>
      <t>3,920</t>
    </r>
    <r>
      <rPr>
        <sz val="11"/>
        <color theme="1"/>
        <rFont val="David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</si>
  <si>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</si>
  <si>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</si>
  <si>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</si>
  <si>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</rPr>
      <t>הלוואה 1</t>
    </r>
    <r>
      <rPr>
        <sz val="11"/>
        <color theme="1"/>
        <rFont val="David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</si>
  <si>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</si>
  <si>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</si>
  <si>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</si>
  <si>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</si>
  <si>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</si>
  <si>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</si>
  <si>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</rPr>
      <t>הנתון בסך 4,000 ש״ח - לא רלוונטי.</t>
    </r>
    <r>
      <rPr>
        <sz val="11"/>
        <color theme="1"/>
        <rFont val="David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</si>
  <si>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</si>
  <si>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</si>
  <si>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</si>
  <si>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</si>
  <si>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</si>
  <si>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</si>
  <si>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</si>
  <si>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</si>
  <si>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</si>
  <si>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</si>
  <si>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</si>
  <si>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</si>
  <si>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</si>
  <si>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</si>
  <si>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</si>
  <si>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</si>
  <si>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</si>
  <si>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</si>
  <si>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</si>
  <si>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</si>
  <si>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</si>
  <si>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</si>
  <si>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</si>
  <si>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</si>
  <si>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</si>
  <si>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</si>
  <si>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</si>
  <si>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</si>
  <si>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</si>
  <si>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</si>
  <si>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</si>
  <si>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</si>
  <si>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</si>
  <si>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</si>
  <si>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</si>
  <si>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</si>
  <si>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</si>
  <si>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</si>
  <si>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</si>
  <si>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</si>
  <si>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</si>
  <si>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</si>
  <si>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</si>
  <si>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</si>
  <si>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</si>
  <si>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</si>
  <si>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</si>
  <si>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</si>
  <si>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</si>
  <si>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</si>
  <si>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</si>
  <si>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</si>
  <si>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</si>
  <si>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</si>
  <si>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</si>
  <si>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=(1+3.4%)^2 - 1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</si>
  <si>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</si>
  <si>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</si>
  <si>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</si>
  <si>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=(1+2%)^4 - 1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</si>
  <si>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=(1+6.5%/4)^4 - 1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</si>
  <si>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</si>
  <si>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</si>
  <si>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</si>
  <si>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</si>
  <si>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</si>
  <si>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</si>
  <si>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</si>
  <si>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</si>
  <si>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</si>
  <si>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</si>
  <si>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</si>
  <si>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</si>
  <si>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</si>
  <si>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</si>
  <si>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</si>
  <si>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</si>
  <si>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</si>
  <si>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</si>
  <si>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</si>
  <si>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</rPr>
      <t>(940,000 - 2% * 940,000)</t>
    </r>
    <r>
      <rPr>
        <sz val="11"/>
        <color theme="1"/>
        <rFont val="David"/>
      </rPr>
      <t>/</t>
    </r>
    <r>
      <rPr>
        <b/>
        <sz val="11"/>
        <color rgb="FFFF0000"/>
        <rFont val="David"/>
      </rPr>
      <t>(940,000 - 25% * 940,000)</t>
    </r>
    <r>
      <rPr>
        <sz val="11"/>
        <color theme="1"/>
        <rFont val="David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</si>
  <si>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</si>
  <si>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</si>
  <si>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</si>
  <si>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</si>
  <si>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</si>
  <si>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</si>
  <si>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</rPr>
      <t>921,200</t>
    </r>
    <r>
      <rPr>
        <sz val="11"/>
        <color theme="1"/>
        <rFont val="David"/>
      </rPr>
      <t xml:space="preserve"> / </t>
    </r>
    <r>
      <rPr>
        <sz val="11"/>
        <color rgb="FFFF0000"/>
        <rFont val="David"/>
      </rPr>
      <t>705,000</t>
    </r>
    <r>
      <rPr>
        <sz val="11"/>
        <color theme="1"/>
        <rFont val="David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</si>
  <si>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</si>
  <si>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</si>
  <si>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</si>
  <si>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</si>
  <si>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</si>
  <si>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</si>
  <si>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</si>
  <si>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</si>
  <si>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</si>
  <si>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</si>
  <si>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</si>
  <si>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</si>
  <si>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</si>
  <si>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</si>
  <si>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</si>
  <si>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</si>
  <si>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</si>
  <si>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</si>
  <si>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</si>
  <si>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</si>
  <si>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</si>
  <si>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</si>
  <si>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</si>
  <si>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</si>
  <si>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</si>
  <si>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</si>
  <si>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</si>
  <si>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</si>
  <si>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</si>
  <si>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</si>
  <si>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</si>
  <si>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</si>
  <si>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</si>
  <si>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</si>
  <si>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</si>
  <si>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</si>
  <si>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</si>
  <si>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</si>
  <si>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</si>
  <si>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</si>
  <si>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</si>
  <si>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</si>
  <si>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</si>
  <si>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</si>
  <si>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</si>
  <si>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</si>
  <si>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</si>
  <si>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</si>
  <si>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</si>
  <si>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</si>
  <si>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</si>
  <si>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</si>
  <si>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</si>
  <si>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</si>
  <si>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</si>
  <si>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</si>
  <si>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</si>
  <si>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</si>
  <si>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</si>
  <si>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</si>
  <si>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</si>
  <si>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</si>
  <si>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</si>
  <si>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</si>
  <si>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</si>
  <si>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</si>
  <si>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</si>
  <si>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</si>
  <si>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</si>
  <si>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</si>
  <si>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</si>
  <si>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</si>
  <si>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</si>
  <si>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</si>
  <si>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</si>
  <si>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</si>
  <si>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</si>
  <si>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</si>
  <si>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</si>
  <si>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</si>
  <si>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</si>
  <si>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</si>
  <si>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</si>
  <si>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</si>
  <si>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</si>
  <si>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</si>
  <si>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</si>
  <si>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</si>
  <si>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</si>
  <si>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</si>
  <si>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</si>
  <si>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</si>
  <si>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</si>
  <si>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</si>
  <si>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</si>
  <si>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</si>
  <si>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</si>
  <si>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</si>
  <si>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מספר התשלומים = זהה למס׳ החודשים ב-10 שנים</t>
  </si>
  <si>
    <t>סכום ההלוואה שמקבלים היום - בסימן חיובי</t>
  </si>
  <si>
    <t>התשלום החודשי הכולל הקבוע</t>
  </si>
  <si>
    <t>ברירת מחדל בשפיצר</t>
  </si>
  <si>
    <r>
      <t xml:space="preserve">פתרון ב - חישוב ההחזר על חשבון הקרן - PRN, בתשלום ה-28? פונקציית </t>
    </r>
    <r>
      <rPr>
        <b/>
        <sz val="12"/>
        <color rgb="FFFF0000"/>
        <rFont val="David"/>
      </rPr>
      <t>PPMT</t>
    </r>
    <r>
      <rPr>
        <b/>
        <sz val="12"/>
        <color theme="1"/>
        <rFont val="David"/>
      </rPr>
      <t>:</t>
    </r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</si>
  <si>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</si>
  <si>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</si>
  <si>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</si>
  <si>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</si>
  <si>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</si>
  <si>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</si>
  <si>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</si>
  <si>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r>
      <t xml:space="preserve">פתרון ג - חישוב תשלום הריבית, הנכלל במסגרת התשלום ה-94? פונקציית </t>
    </r>
    <r>
      <rPr>
        <b/>
        <sz val="12"/>
        <color rgb="FFFF0000"/>
        <rFont val="David"/>
      </rPr>
      <t>IPMT</t>
    </r>
    <r>
      <rPr>
        <b/>
        <sz val="12"/>
        <color theme="1"/>
        <rFont val="David"/>
      </rPr>
      <t>:</t>
    </r>
  </si>
  <si>
    <t>ipmt</t>
  </si>
  <si>
    <t>פתרון ד - חישוב יתרת ההלוואה (יתרת סגירה, BAL) לאחר התשלום ה-33, פונקציית PV:</t>
  </si>
  <si>
    <r>
      <t xml:space="preserve">חישוב </t>
    </r>
    <r>
      <rPr>
        <b/>
        <sz val="12"/>
        <color theme="1"/>
        <rFont val="David"/>
      </rPr>
      <t>יתרת הלוואה</t>
    </r>
    <r>
      <rPr>
        <sz val="12"/>
        <color theme="1"/>
        <rFont val="David"/>
      </rPr>
      <t xml:space="preserve"> (יתרת קרן, BAL) הוא </t>
    </r>
    <r>
      <rPr>
        <u/>
        <sz val="12"/>
        <color theme="1"/>
        <rFont val="David"/>
      </rPr>
      <t>הערך הנוכחי</t>
    </r>
    <r>
      <rPr>
        <sz val="12"/>
        <color theme="1"/>
        <rFont val="David"/>
      </rPr>
      <t xml:space="preserve"> של </t>
    </r>
    <r>
      <rPr>
        <u/>
        <sz val="12"/>
        <color theme="1"/>
        <rFont val="David"/>
      </rPr>
      <t>התשלומים שנותרו</t>
    </r>
    <r>
      <rPr>
        <sz val="12"/>
        <color theme="1"/>
        <rFont val="David"/>
      </rPr>
      <t xml:space="preserve"> (שטרם בוצעו). </t>
    </r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</si>
  <si>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</si>
  <si>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</si>
  <si>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</si>
  <si>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</si>
  <si>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</si>
  <si>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</si>
  <si>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>חישוב יתרת ההלוואה BAL למועד הרלוונטי</t>
  </si>
  <si>
    <t>התשלום התקופתי הקבוע - חושב בשלב קודם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</si>
  <si>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</si>
  <si>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</si>
  <si>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</si>
  <si>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</si>
  <si>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</si>
  <si>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</si>
  <si>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 xml:space="preserve">לוח סילוקין ״רגיל״ כולל מנגנון חישוב שבמסגרתו מחשבים תחילה </t>
  </si>
  <si>
    <r>
      <t xml:space="preserve">את </t>
    </r>
    <r>
      <rPr>
        <b/>
        <sz val="12"/>
        <color theme="1"/>
        <rFont val="David"/>
      </rPr>
      <t>תשלום הקרן</t>
    </r>
    <r>
      <rPr>
        <sz val="12"/>
        <color theme="1"/>
        <rFont val="David"/>
      </rPr>
      <t xml:space="preserve"> התקופתי הקבוע.</t>
    </r>
  </si>
  <si>
    <t>סכום ההלוואה: 189 ש״ח.</t>
  </si>
  <si>
    <t xml:space="preserve">רק לאחר מכן מחשבים את הריבית התקופתית. </t>
  </si>
  <si>
    <t>מספר התשלומים: 12 תשלומים חודשיים.</t>
  </si>
  <si>
    <t xml:space="preserve">והתשלום התקופתי הכולל הוא חיבור שני ערכים אלו (תשלום קרן + </t>
  </si>
  <si>
    <t xml:space="preserve">תשלום ריבית). </t>
  </si>
  <si>
    <r>
      <t xml:space="preserve">הואיל </t>
    </r>
    <r>
      <rPr>
        <b/>
        <sz val="12"/>
        <color rgb="FFFF0000"/>
        <rFont val="David"/>
      </rPr>
      <t>והריבית נקובה</t>
    </r>
    <r>
      <rPr>
        <sz val="12"/>
        <color theme="1"/>
        <rFont val="David"/>
      </rPr>
      <t xml:space="preserve">, המרתה לחודש - </t>
    </r>
  </si>
  <si>
    <t>חישובי לוח סילוקין רגיל מבצעים מתמטית בצורה פשוטה, ולא</t>
  </si>
  <si>
    <t xml:space="preserve">כדי לאפשר חישוב תשלום חודשי - </t>
  </si>
  <si>
    <t xml:space="preserve">עם פונקציות אקסליות. </t>
  </si>
  <si>
    <t>היא ע״י חלוקה ב-12:</t>
  </si>
  <si>
    <t xml:space="preserve">r = 8%/12 = </t>
  </si>
  <si>
    <t>סכום ההלוואה</t>
  </si>
  <si>
    <t>מחולק</t>
  </si>
  <si>
    <t>בניכוי תשלום</t>
  </si>
  <si>
    <t>במס׳ התשלומים</t>
  </si>
  <si>
    <t>הקרן הקבוע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</si>
  <si>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</si>
  <si>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</si>
  <si>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</si>
  <si>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</si>
  <si>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</si>
  <si>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</si>
  <si>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</si>
  <si>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</si>
  <si>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</si>
  <si>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</si>
  <si>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</si>
  <si>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</si>
  <si>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</si>
  <si>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</si>
  <si>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</si>
  <si>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</si>
  <si>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</si>
  <si>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</si>
  <si>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</si>
  <si>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</si>
  <si>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</si>
  <si>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</si>
  <si>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</si>
  <si>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</si>
  <si>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</si>
  <si>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</si>
  <si>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</si>
  <si>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</si>
  <si>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</si>
  <si>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</si>
  <si>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</si>
  <si>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</si>
  <si>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</si>
  <si>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</si>
  <si>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</si>
  <si>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</si>
  <si>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</si>
  <si>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</si>
  <si>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</si>
  <si>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</si>
  <si>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</si>
  <si>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</si>
  <si>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</si>
  <si>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</si>
  <si>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</si>
  <si>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</si>
  <si>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</si>
  <si>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</si>
  <si>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</si>
  <si>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</si>
  <si>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</si>
  <si>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</si>
  <si>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</si>
  <si>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</si>
  <si>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</si>
  <si>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</si>
  <si>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</si>
  <si>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</si>
  <si>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</si>
  <si>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</si>
  <si>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</si>
  <si>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</si>
  <si>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</si>
  <si>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</si>
  <si>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</si>
  <si>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</si>
  <si>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</si>
  <si>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</si>
  <si>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</si>
  <si>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</si>
  <si>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</si>
  <si>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</si>
  <si>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</si>
  <si>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</si>
  <si>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</si>
  <si>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</si>
  <si>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</si>
  <si>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</si>
  <si>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</si>
  <si>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</si>
  <si>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</si>
  <si>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</si>
  <si>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</si>
  <si>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</si>
  <si>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</si>
  <si>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</si>
  <si>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</si>
  <si>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</si>
  <si>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</si>
  <si>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</si>
  <si>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</si>
  <si>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</si>
  <si>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</si>
  <si>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</si>
  <si>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</si>
  <si>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</si>
  <si>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</si>
  <si>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</si>
  <si>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</si>
  <si>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</si>
  <si>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</si>
  <si>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</si>
  <si>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</si>
  <si>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</si>
  <si>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</si>
  <si>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</si>
  <si>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</si>
  <si>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</si>
  <si>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</si>
  <si>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</si>
  <si>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</si>
  <si>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</si>
  <si>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</si>
  <si>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</si>
  <si>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</si>
  <si>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</si>
  <si>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</si>
  <si>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</si>
  <si>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</si>
  <si>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</rPr>
      <t>לוח שפיצר</t>
    </r>
    <r>
      <rPr>
        <sz val="11"/>
        <color theme="1"/>
        <rFont val="David"/>
      </rPr>
      <t xml:space="preserve"> ולוח </t>
    </r>
    <r>
      <rPr>
        <u/>
        <sz val="11"/>
        <color theme="1"/>
        <rFont val="David"/>
      </rPr>
      <t>רגיל</t>
    </r>
    <r>
      <rPr>
        <sz val="11"/>
        <color theme="1"/>
        <rFont val="David"/>
      </rPr>
      <t>.</t>
    </r>
  </si>
  <si>
    <r>
      <t xml:space="preserve">בלוח </t>
    </r>
    <r>
      <rPr>
        <sz val="11"/>
        <color rgb="FFFF0000"/>
        <rFont val="David"/>
      </rPr>
      <t>שפיצר</t>
    </r>
    <r>
      <rPr>
        <sz val="11"/>
        <color theme="1"/>
        <rFont val="David"/>
      </rPr>
      <t xml:space="preserve"> - שנקרא בדרך כלל במבחנים ״</t>
    </r>
    <r>
      <rPr>
        <sz val="11"/>
        <color rgb="FFFF0000"/>
        <rFont val="David"/>
      </rPr>
      <t>תשלומים שווים של קרן וריבית</t>
    </r>
    <r>
      <rPr>
        <sz val="11"/>
        <color theme="1"/>
        <rFont val="David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</si>
  <si>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</rPr>
      <t>רגיל</t>
    </r>
    <r>
      <rPr>
        <sz val="11"/>
        <color theme="1"/>
        <rFont val="David"/>
      </rPr>
      <t>״ שנקרא בדרך כלל בשאלות במבחנים ״</t>
    </r>
    <r>
      <rPr>
        <sz val="11"/>
        <color rgb="FF00B0F0"/>
        <rFont val="David"/>
      </rPr>
      <t>החזרי קרן שווים</t>
    </r>
    <r>
      <rPr>
        <sz val="11"/>
        <color theme="1"/>
        <rFont val="David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</si>
  <si>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</si>
  <si>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</si>
  <si>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</si>
  <si>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</si>
  <si>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</si>
  <si>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</si>
  <si>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</si>
  <si>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</si>
  <si>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</si>
  <si>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</si>
  <si>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</si>
  <si>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</si>
  <si>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</si>
  <si>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</si>
  <si>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</si>
  <si>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</si>
  <si>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</si>
  <si>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</si>
  <si>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</si>
  <si>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</si>
  <si>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</si>
  <si>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</si>
  <si>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</si>
  <si>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</si>
  <si>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</si>
  <si>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</si>
  <si>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</si>
  <si>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</si>
  <si>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</si>
  <si>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</si>
  <si>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</si>
  <si>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</si>
  <si>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</si>
  <si>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</si>
  <si>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</si>
  <si>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</si>
  <si>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</si>
  <si>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</si>
  <si>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</si>
  <si>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</rPr>
      <t>בתשלומים חודשיים שווים</t>
    </r>
    <r>
      <rPr>
        <sz val="11"/>
        <color theme="1"/>
        <rFont val="David"/>
      </rPr>
      <t xml:space="preserve"> בתקופה של 5 שנים, </t>
    </r>
    <r>
      <rPr>
        <b/>
        <sz val="11"/>
        <color rgb="FFFF0000"/>
        <rFont val="David"/>
      </rPr>
      <t>אך התשלום הראשון יבוצע בתום החודש ה-6</t>
    </r>
    <r>
      <rPr>
        <sz val="11"/>
        <color theme="1"/>
        <rFont val="David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</si>
  <si>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</si>
  <si>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</si>
  <si>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</si>
  <si>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</si>
  <si>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</si>
  <si>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</rPr>
      <t>יתרת ההלוואה כולל הריבית הצבורה</t>
    </r>
    <r>
      <rPr>
        <sz val="11"/>
        <color theme="1"/>
        <rFont val="David"/>
      </rPr>
      <t xml:space="preserve">, עד לנקודת הזמן שהיא </t>
    </r>
    <r>
      <rPr>
        <u/>
        <sz val="11"/>
        <color theme="1"/>
        <rFont val="David"/>
      </rPr>
      <t>תקופה אחת לפני מועד ההחזר הראשון</t>
    </r>
    <r>
      <rPr>
        <sz val="11"/>
        <color theme="1"/>
        <rFont val="David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</si>
  <si>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</si>
  <si>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</si>
  <si>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</si>
  <si>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</si>
  <si>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</si>
  <si>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</si>
  <si>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</si>
  <si>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</si>
  <si>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</si>
  <si>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</si>
  <si>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</si>
  <si>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</si>
  <si>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</si>
  <si>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</si>
  <si>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</rPr>
      <t>INT(6)</t>
    </r>
    <r>
      <rPr>
        <sz val="11"/>
        <color theme="1"/>
        <rFont val="David"/>
      </rPr>
      <t xml:space="preserve"> + PRN</t>
    </r>
  </si>
  <si>
    <r>
      <t xml:space="preserve">PMT(6) = </t>
    </r>
    <r>
      <rPr>
        <sz val="11"/>
        <color rgb="FFFF0000"/>
        <rFont val="David"/>
      </rPr>
      <t>210,202 * 1%</t>
    </r>
    <r>
      <rPr>
        <sz val="11"/>
        <color theme="1"/>
        <rFont val="David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</si>
  <si>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</si>
  <si>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</rPr>
      <t>INT(9)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PRN</t>
    </r>
  </si>
  <si>
    <r>
      <t xml:space="preserve">PMT(9) = </t>
    </r>
    <r>
      <rPr>
        <sz val="11"/>
        <color rgb="FFFF0000"/>
        <rFont val="David"/>
      </rPr>
      <t>(210,202/55)*52*1%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210,202/55</t>
    </r>
    <r>
      <rPr>
        <sz val="11"/>
        <color theme="1"/>
        <rFont val="David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</si>
  <si>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</si>
  <si>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</si>
  <si>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</si>
  <si>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</si>
  <si>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</si>
  <si>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</si>
  <si>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</si>
  <si>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</si>
  <si>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</si>
  <si>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</si>
  <si>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</si>
  <si>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</si>
  <si>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</si>
  <si>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</si>
  <si>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</si>
  <si>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</si>
  <si>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</si>
  <si>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</si>
  <si>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</si>
  <si>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</si>
  <si>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</rPr>
      <t>הצמדה</t>
    </r>
    <r>
      <rPr>
        <sz val="11"/>
        <color theme="1"/>
        <rFont val="David"/>
      </rPr>
      <t>, בין אם למדד</t>
    </r>
  </si>
  <si>
    <r>
      <rPr>
        <b/>
        <sz val="11"/>
        <color theme="1"/>
        <rFont val="David"/>
      </rPr>
      <t>המחירים לצרכן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למדד תשומות הבנייה</t>
    </r>
    <r>
      <rPr>
        <sz val="11"/>
        <color theme="1"/>
        <rFont val="David"/>
      </rPr>
      <t xml:space="preserve"> או </t>
    </r>
    <r>
      <rPr>
        <b/>
        <sz val="11"/>
        <color theme="1"/>
        <rFont val="David"/>
      </rPr>
      <t>לכל נכס / בסיס הצמדה אחר</t>
    </r>
    <r>
      <rPr>
        <sz val="11"/>
        <color theme="1"/>
        <rFont val="David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</si>
  <si>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</si>
  <si>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</si>
  <si>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</si>
  <si>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</si>
  <si>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</si>
  <si>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</si>
  <si>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</si>
  <si>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</si>
  <si>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</si>
  <si>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</si>
  <si>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</si>
  <si>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</si>
  <si>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</si>
  <si>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</si>
  <si>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</si>
  <si>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</si>
  <si>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</si>
  <si>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</si>
  <si>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</si>
  <si>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</si>
  <si>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</si>
  <si>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</si>
  <si>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</si>
  <si>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</si>
  <si>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</si>
  <si>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</si>
  <si>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</si>
  <si>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</si>
  <si>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</si>
  <si>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</si>
  <si>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</si>
  <si>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</si>
  <si>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</si>
  <si>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</si>
  <si>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</si>
  <si>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</si>
  <si>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</si>
  <si>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</si>
  <si>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</si>
  <si>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</si>
  <si>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</si>
  <si>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</si>
  <si>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</si>
  <si>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</si>
  <si>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</si>
  <si>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</si>
  <si>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</si>
  <si>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</si>
  <si>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</rPr>
      <t>ריאלית</t>
    </r>
    <r>
      <rPr>
        <sz val="11"/>
        <color theme="1"/>
        <rFont val="David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</si>
  <si>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</rPr>
      <t>נומינלית</t>
    </r>
    <r>
      <rPr>
        <sz val="11"/>
        <color theme="1"/>
        <rFont val="David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</si>
  <si>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</si>
  <si>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</si>
  <si>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</si>
  <si>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</rPr>
      <t>נומינלית</t>
    </r>
    <r>
      <rPr>
        <sz val="11"/>
        <color theme="1"/>
        <rFont val="David"/>
      </rPr>
      <t xml:space="preserve">, זה אומר שהשיעור שלה באחוזים הוא התוספת </t>
    </r>
    <r>
      <rPr>
        <b/>
        <sz val="11"/>
        <color theme="1"/>
        <rFont val="David"/>
      </rPr>
      <t>הכספית</t>
    </r>
    <r>
      <rPr>
        <sz val="11"/>
        <color theme="1"/>
        <rFont val="David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</si>
  <si>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</si>
  <si>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</si>
  <si>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</si>
  <si>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</si>
  <si>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</si>
  <si>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</si>
  <si>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</si>
  <si>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</si>
  <si>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</si>
  <si>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</si>
  <si>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</si>
  <si>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</si>
  <si>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</si>
  <si>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</si>
  <si>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</si>
  <si>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</si>
  <si>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</si>
  <si>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</si>
  <si>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</si>
  <si>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</rPr>
      <t>פתרון סעיף א</t>
    </r>
    <r>
      <rPr>
        <sz val="11"/>
        <color theme="1"/>
        <rFont val="David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</si>
  <si>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</si>
  <si>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</rPr>
      <t>פתרון סעיף ב</t>
    </r>
    <r>
      <rPr>
        <sz val="11"/>
        <color theme="1"/>
        <rFont val="David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</si>
  <si>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</si>
  <si>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</si>
  <si>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</si>
  <si>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</si>
  <si>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</rPr>
      <t>טרם הצמדתה</t>
    </r>
    <r>
      <rPr>
        <sz val="11"/>
        <color theme="1"/>
        <rFont val="David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</si>
  <si>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</si>
  <si>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</si>
  <si>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</si>
  <si>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</si>
  <si>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</si>
  <si>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</si>
  <si>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</si>
  <si>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</si>
  <si>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</si>
  <si>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</si>
  <si>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</si>
  <si>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</si>
  <si>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</si>
  <si>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</si>
  <si>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</si>
  <si>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</si>
  <si>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</si>
  <si>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</si>
  <si>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</si>
  <si>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</si>
  <si>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</si>
  <si>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</si>
  <si>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</si>
  <si>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</si>
  <si>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</si>
  <si>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</si>
  <si>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</si>
  <si>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</si>
  <si>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</si>
  <si>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</si>
  <si>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</si>
  <si>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</si>
  <si>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</si>
  <si>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</si>
  <si>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</si>
  <si>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</si>
  <si>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</si>
  <si>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</si>
  <si>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</si>
  <si>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</si>
  <si>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</si>
  <si>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</si>
  <si>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</si>
  <si>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</si>
  <si>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</si>
  <si>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</si>
  <si>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</si>
  <si>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</si>
  <si>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</si>
  <si>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</si>
  <si>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</si>
  <si>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</si>
  <si>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</si>
  <si>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</si>
  <si>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</si>
  <si>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</si>
  <si>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</si>
  <si>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</si>
  <si>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</si>
  <si>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</si>
  <si>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</si>
  <si>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</si>
  <si>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</si>
  <si>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</si>
  <si>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</si>
  <si>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</si>
  <si>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</si>
  <si>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</si>
  <si>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</si>
  <si>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</si>
  <si>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</si>
  <si>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</si>
  <si>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</si>
  <si>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</si>
  <si>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</si>
  <si>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</si>
  <si>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</si>
  <si>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</si>
  <si>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</si>
  <si>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</si>
  <si>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</si>
  <si>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</si>
  <si>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</si>
  <si>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</si>
  <si>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</si>
  <si>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</si>
  <si>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</si>
  <si>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</si>
  <si>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</si>
  <si>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</si>
  <si>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</si>
  <si>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</si>
  <si>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</si>
  <si>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</si>
  <si>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</si>
  <si>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</si>
  <si>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</si>
  <si>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</si>
  <si>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</si>
  <si>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</si>
  <si>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</si>
  <si>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</si>
  <si>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</si>
  <si>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</si>
  <si>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</si>
  <si>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</si>
  <si>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</si>
  <si>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</rPr>
      <t>הערך הנוכחי הנקי - ענ״נ או NPV = Net Present Value</t>
    </r>
    <r>
      <rPr>
        <sz val="11"/>
        <color theme="1"/>
        <rFont val="David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</si>
  <si>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</si>
  <si>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</rPr>
      <t>שיעור התשואה הפנימי - שת״פ או IRR - Internal Rate of Return</t>
    </r>
    <r>
      <rPr>
        <sz val="11"/>
        <color theme="1"/>
        <rFont val="David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</si>
  <si>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</si>
  <si>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</si>
  <si>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</si>
  <si>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</si>
  <si>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</si>
  <si>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</si>
  <si>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</si>
  <si>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</si>
  <si>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</si>
  <si>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</si>
  <si>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</si>
  <si>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</si>
  <si>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</si>
  <si>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</si>
  <si>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</si>
  <si>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</si>
  <si>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</si>
  <si>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</si>
  <si>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</si>
  <si>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</si>
  <si>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</si>
  <si>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</si>
  <si>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</rPr>
      <t>הדגמה לצרכי הבנה שלא מחייבת לבחינה</t>
    </r>
    <r>
      <rPr>
        <sz val="11"/>
        <color theme="1"/>
        <rFont val="David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</si>
  <si>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</si>
  <si>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</si>
  <si>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</si>
  <si>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</si>
  <si>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</si>
  <si>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</si>
  <si>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</si>
  <si>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</si>
  <si>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</si>
  <si>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</si>
  <si>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</si>
  <si>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</si>
  <si>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</si>
  <si>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</si>
  <si>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</si>
  <si>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</si>
  <si>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</si>
  <si>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</si>
  <si>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</si>
  <si>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</si>
  <si>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</si>
  <si>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</si>
  <si>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</si>
  <si>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</rPr>
      <t>לא</t>
    </r>
    <r>
      <rPr>
        <sz val="11"/>
        <color theme="1"/>
        <rFont val="David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</si>
  <si>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</si>
  <si>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</si>
  <si>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</rPr>
      <t>איננו</t>
    </r>
    <r>
      <rPr>
        <sz val="11"/>
        <color theme="1"/>
        <rFont val="David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</si>
  <si>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</si>
  <si>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</si>
  <si>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</si>
  <si>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</si>
  <si>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</si>
  <si>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</si>
  <si>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</si>
  <si>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</si>
  <si>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</si>
  <si>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</si>
  <si>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</si>
  <si>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</si>
  <si>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</si>
  <si>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</si>
  <si>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</si>
  <si>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</si>
  <si>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</si>
  <si>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</si>
  <si>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</si>
  <si>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</si>
  <si>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</si>
  <si>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</si>
  <si>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</si>
  <si>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</si>
  <si>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</si>
  <si>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</si>
  <si>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</si>
  <si>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</si>
  <si>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</si>
  <si>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</si>
  <si>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</si>
  <si>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</si>
  <si>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</si>
  <si>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</si>
  <si>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</si>
  <si>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</si>
  <si>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</si>
  <si>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</si>
  <si>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</si>
  <si>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</si>
  <si>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</si>
  <si>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</si>
  <si>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</si>
  <si>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</si>
  <si>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</si>
  <si>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</si>
  <si>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</si>
  <si>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</si>
  <si>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</si>
  <si>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</si>
  <si>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</si>
  <si>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</si>
  <si>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</si>
  <si>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</si>
  <si>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</si>
  <si>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</si>
  <si>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</si>
  <si>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</si>
  <si>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</si>
  <si>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</si>
  <si>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</si>
  <si>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</si>
  <si>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</si>
  <si>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</si>
  <si>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</si>
  <si>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</si>
  <si>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</si>
  <si>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</si>
  <si>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</si>
  <si>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</si>
  <si>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</si>
  <si>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</si>
  <si>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</si>
  <si>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</si>
  <si>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</si>
  <si>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</si>
  <si>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</si>
  <si>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</si>
  <si>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</si>
  <si>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</si>
  <si>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</si>
  <si>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</si>
  <si>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</si>
  <si>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</si>
  <si>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</si>
  <si>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</si>
  <si>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</si>
  <si>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</si>
  <si>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</si>
  <si>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</si>
  <si>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</si>
  <si>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</si>
  <si>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</si>
  <si>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</si>
  <si>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</si>
  <si>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</si>
  <si>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</si>
  <si>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</si>
  <si>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</si>
  <si>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</si>
  <si>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</si>
  <si>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</si>
  <si>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</si>
  <si>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</si>
  <si>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</si>
  <si>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</si>
  <si>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</si>
  <si>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</si>
  <si>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</si>
  <si>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</si>
  <si>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</si>
  <si>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</si>
  <si>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</si>
  <si>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</si>
  <si>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</si>
  <si>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</si>
  <si>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</si>
  <si>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</si>
  <si>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</si>
  <si>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</si>
  <si>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</si>
  <si>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</si>
  <si>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</si>
  <si>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</si>
  <si>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</si>
  <si>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</si>
  <si>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</si>
  <si>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</si>
  <si>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</si>
  <si>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</si>
  <si>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</si>
  <si>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</si>
  <si>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</si>
  <si>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</si>
  <si>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</si>
  <si>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</si>
  <si>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</si>
  <si>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</si>
  <si>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</si>
  <si>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</si>
  <si>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</si>
  <si>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</si>
  <si>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</si>
  <si>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</si>
  <si>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</si>
  <si>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</si>
  <si>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</si>
  <si>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</si>
  <si>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</si>
  <si>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</si>
  <si>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</si>
  <si>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</si>
  <si>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</si>
  <si>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</si>
  <si>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</si>
  <si>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</si>
  <si>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</si>
  <si>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</si>
  <si>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</si>
  <si>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</si>
  <si>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</si>
  <si>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</si>
  <si>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</si>
  <si>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</si>
  <si>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</si>
  <si>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</si>
  <si>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</si>
  <si>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</si>
  <si>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</si>
  <si>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</si>
  <si>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</si>
  <si>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</si>
  <si>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</si>
  <si>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</si>
  <si>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</si>
  <si>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</si>
  <si>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</si>
  <si>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</si>
  <si>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</si>
  <si>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</si>
  <si>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</si>
  <si>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</si>
  <si>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</si>
  <si>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</si>
  <si>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</si>
  <si>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</si>
  <si>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</si>
  <si>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</si>
  <si>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</si>
  <si>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</si>
  <si>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</si>
  <si>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</si>
  <si>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</si>
  <si>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</si>
  <si>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</si>
  <si>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</si>
  <si>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</si>
  <si>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</si>
  <si>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</si>
  <si>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</si>
  <si>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</si>
  <si>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</si>
  <si>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</si>
  <si>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</si>
  <si>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</si>
  <si>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</si>
  <si>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</si>
  <si>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</si>
  <si>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</si>
  <si>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</si>
  <si>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</si>
  <si>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</si>
  <si>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</si>
  <si>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</si>
  <si>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</si>
  <si>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</si>
  <si>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</si>
  <si>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</si>
  <si>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</si>
  <si>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</si>
  <si>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</si>
  <si>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</si>
  <si>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</si>
  <si>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</si>
  <si>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</si>
  <si>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</si>
  <si>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</si>
  <si>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</si>
  <si>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</si>
  <si>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</si>
  <si>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</si>
  <si>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</si>
  <si>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</si>
  <si>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</si>
  <si>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</si>
  <si>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</si>
  <si>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</si>
  <si>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</si>
  <si>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</si>
  <si>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</si>
  <si>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</si>
  <si>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</si>
  <si>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</si>
  <si>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</si>
  <si>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</si>
  <si>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</rPr>
      <t>השיעורים</t>
    </r>
    <r>
      <rPr>
        <sz val="11"/>
        <color theme="1"/>
        <rFont val="David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</si>
  <si>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</si>
  <si>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</si>
  <si>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</si>
  <si>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</si>
  <si>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</si>
  <si>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</si>
  <si>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</si>
  <si>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</si>
  <si>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</si>
  <si>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</si>
  <si>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</si>
  <si>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</rPr>
      <t>חודשית של 1% לחודש, לפי: 1% =1 - (1/12)^(12.68% + 1).</t>
    </r>
    <r>
      <rPr>
        <sz val="11"/>
        <color theme="1"/>
        <rFont val="David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</si>
  <si>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</si>
  <si>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</si>
  <si>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</si>
  <si>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</si>
  <si>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</si>
  <si>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</si>
  <si>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</si>
  <si>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</si>
  <si>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</si>
  <si>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</si>
  <si>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</si>
  <si>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</si>
  <si>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</si>
  <si>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</si>
  <si>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</si>
  <si>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</si>
  <si>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</si>
  <si>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</si>
  <si>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</si>
  <si>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</si>
  <si>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</si>
  <si>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</si>
  <si>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</si>
  <si>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</si>
  <si>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</si>
  <si>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</si>
  <si>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</si>
  <si>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</si>
  <si>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</si>
  <si>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</si>
  <si>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</si>
  <si>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</si>
  <si>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</si>
  <si>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</si>
  <si>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</si>
  <si>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</si>
  <si>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</si>
  <si>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</si>
  <si>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</si>
  <si>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</si>
  <si>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</si>
  <si>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</si>
  <si>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</si>
  <si>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</si>
  <si>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</si>
  <si>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</si>
  <si>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</si>
  <si>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</si>
  <si>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</si>
  <si>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</si>
  <si>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</si>
  <si>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</si>
  <si>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</si>
  <si>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</si>
  <si>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</rPr>
      <t>שכאן</t>
    </r>
    <r>
      <rPr>
        <b/>
        <sz val="11"/>
        <color theme="1"/>
        <rFont val="David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</si>
  <si>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</si>
  <si>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</si>
  <si>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</si>
  <si>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</si>
  <si>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</si>
  <si>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</si>
  <si>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</si>
  <si>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</si>
  <si>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</si>
  <si>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</si>
  <si>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</si>
  <si>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</si>
  <si>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</si>
  <si>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</si>
  <si>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</si>
  <si>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</si>
  <si>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</si>
  <si>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</si>
  <si>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</si>
  <si>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</si>
  <si>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</si>
  <si>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</rPr>
      <t>R/n</t>
    </r>
    <r>
      <rPr>
        <sz val="11"/>
        <color theme="1"/>
        <rFont val="David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</si>
  <si>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</si>
  <si>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</si>
  <si>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</si>
  <si>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</si>
  <si>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</si>
  <si>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</si>
  <si>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</si>
  <si>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</si>
  <si>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</si>
  <si>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</si>
  <si>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</si>
  <si>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</si>
  <si>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</si>
  <si>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</rPr>
      <t>לתקופת העסקה</t>
    </r>
    <r>
      <rPr>
        <sz val="11"/>
        <color theme="1"/>
        <rFont val="David"/>
      </rPr>
      <t>: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</si>
  <si>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</si>
  <si>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</si>
  <si>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</si>
  <si>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</si>
  <si>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</si>
  <si>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</si>
  <si>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</si>
  <si>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</si>
  <si>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</si>
  <si>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</si>
  <si>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</si>
  <si>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</si>
  <si>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</si>
  <si>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</si>
  <si>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</si>
  <si>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</si>
  <si>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</si>
  <si>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</si>
  <si>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</si>
  <si>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</si>
  <si>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</si>
  <si>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</si>
  <si>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</si>
  <si>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</si>
  <si>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</si>
  <si>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</si>
  <si>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</si>
  <si>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</si>
  <si>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</si>
  <si>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</si>
  <si>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</si>
  <si>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</si>
  <si>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</si>
  <si>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</si>
  <si>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</si>
  <si>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</si>
  <si>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</si>
  <si>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</si>
  <si>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</si>
  <si>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</si>
  <si>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</si>
  <si>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</si>
  <si>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</si>
  <si>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</si>
  <si>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</si>
  <si>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</si>
  <si>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</si>
  <si>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</si>
  <si>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</si>
  <si>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</si>
  <si>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</si>
  <si>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</si>
  <si>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</si>
  <si>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</si>
  <si>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</si>
  <si>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</si>
  <si>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</si>
  <si>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</si>
  <si>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</si>
  <si>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</si>
  <si>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</si>
  <si>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</si>
  <si>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</si>
  <si>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</si>
  <si>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</si>
  <si>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</si>
  <si>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</si>
  <si>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</si>
  <si>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</si>
  <si>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</si>
  <si>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</si>
  <si>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</si>
  <si>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</si>
  <si>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</si>
  <si>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</si>
  <si>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</si>
  <si>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</si>
  <si>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</si>
  <si>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</si>
  <si>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</si>
  <si>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</si>
  <si>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</si>
  <si>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</si>
  <si>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</si>
  <si>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</si>
  <si>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</si>
  <si>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</si>
  <si>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</si>
  <si>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</si>
  <si>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</si>
  <si>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</si>
  <si>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</si>
  <si>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</si>
  <si>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</si>
  <si>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</si>
  <si>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</si>
  <si>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</si>
  <si>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</si>
  <si>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</si>
  <si>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</si>
  <si>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</si>
  <si>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</si>
  <si>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</si>
  <si>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</si>
  <si>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</si>
  <si>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</si>
  <si>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</si>
  <si>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</si>
  <si>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</rPr>
      <t>הערך המירבי של הענ״נ</t>
    </r>
    <r>
      <rPr>
        <sz val="11"/>
        <color theme="1"/>
        <rFont val="David"/>
      </rPr>
      <t xml:space="preserve"> - שגרפית</t>
    </r>
  </si>
  <si>
    <r>
      <t xml:space="preserve">לימין, </t>
    </r>
    <r>
      <rPr>
        <b/>
        <sz val="11"/>
        <color rgb="FFFF0000"/>
        <rFont val="David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</si>
  <si>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</si>
  <si>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</si>
  <si>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</si>
  <si>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</si>
  <si>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</si>
  <si>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</si>
  <si>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</si>
  <si>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</si>
  <si>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</si>
  <si>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</rPr>
      <t>PI</t>
    </r>
    <r>
      <rPr>
        <sz val="11"/>
        <rFont val="David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</si>
  <si>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</si>
  <si>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</si>
  <si>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</si>
  <si>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</si>
  <si>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</rPr>
      <t xml:space="preserve">לפי הנחיית המסלול </t>
    </r>
    <r>
      <rPr>
        <sz val="11"/>
        <color theme="1"/>
        <rFont val="David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</si>
  <si>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</si>
  <si>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</si>
  <si>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</si>
  <si>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</rPr>
      <t>,</t>
    </r>
    <r>
      <rPr>
        <sz val="11"/>
        <color theme="1"/>
        <rFont val="David"/>
      </rPr>
      <t>1-2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</si>
  <si>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3-4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</si>
  <si>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</si>
  <si>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</si>
  <si>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</si>
  <si>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</si>
  <si>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</si>
  <si>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</si>
  <si>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</si>
  <si>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</si>
  <si>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</si>
  <si>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</si>
  <si>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</si>
  <si>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</si>
  <si>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</si>
  <si>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</si>
  <si>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</si>
  <si>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</si>
  <si>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</si>
  <si>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</si>
  <si>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</si>
  <si>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</si>
  <si>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</si>
  <si>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</si>
  <si>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</si>
  <si>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</si>
  <si>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</si>
  <si>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</si>
  <si>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</si>
  <si>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</si>
  <si>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</si>
  <si>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</si>
  <si>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</si>
  <si>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</si>
  <si>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</si>
  <si>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</si>
  <si>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</si>
  <si>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</si>
  <si>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</si>
  <si>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</si>
  <si>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</si>
  <si>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</si>
  <si>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</si>
  <si>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</si>
  <si>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</si>
  <si>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</si>
  <si>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</si>
  <si>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</rPr>
      <t>בשיטת ריבית פשוטה</t>
    </r>
    <r>
      <rPr>
        <sz val="11"/>
        <color theme="1"/>
        <rFont val="David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</si>
  <si>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</si>
  <si>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</si>
  <si>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</si>
  <si>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</si>
  <si>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</si>
  <si>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</si>
  <si>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</si>
  <si>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</si>
  <si>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</si>
  <si>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</si>
  <si>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</si>
  <si>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</si>
  <si>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</si>
  <si>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</si>
  <si>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</si>
  <si>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</si>
  <si>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</si>
  <si>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</si>
  <si>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</si>
  <si>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</si>
  <si>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</si>
  <si>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</si>
  <si>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</si>
  <si>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</si>
  <si>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</si>
  <si>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</si>
  <si>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</si>
  <si>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</si>
  <si>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</si>
  <si>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</si>
  <si>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</si>
  <si>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</si>
  <si>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</si>
  <si>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</si>
  <si>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</si>
  <si>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</si>
  <si>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</si>
  <si>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</si>
  <si>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</si>
  <si>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</si>
  <si>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</si>
  <si>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</si>
  <si>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</si>
  <si>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</si>
  <si>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</si>
  <si>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</si>
  <si>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</si>
  <si>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</si>
  <si>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</si>
  <si>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</si>
  <si>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</si>
  <si>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</si>
  <si>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</si>
  <si>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</si>
  <si>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</si>
  <si>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</si>
  <si>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</si>
  <si>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</si>
  <si>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</si>
  <si>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</si>
  <si>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</si>
  <si>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</si>
  <si>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</si>
  <si>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</si>
  <si>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</si>
  <si>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</si>
  <si>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</si>
  <si>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</si>
  <si>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</si>
  <si>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</si>
  <si>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</si>
  <si>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</si>
  <si>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</si>
  <si>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</si>
  <si>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</si>
  <si>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</si>
  <si>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</si>
  <si>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</si>
  <si>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</si>
  <si>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</si>
  <si>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</si>
  <si>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</si>
  <si>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</si>
  <si>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</si>
  <si>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</si>
  <si>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</si>
  <si>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</si>
  <si>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</si>
  <si>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</si>
  <si>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</si>
  <si>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</si>
  <si>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</si>
  <si>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</rPr>
      <t xml:space="preserve">מחליטה להפקיד </t>
    </r>
    <r>
      <rPr>
        <b/>
        <u/>
        <sz val="16"/>
        <color rgb="FFFF0000"/>
        <rFont val="David"/>
      </rPr>
      <t>כל חודש</t>
    </r>
    <r>
      <rPr>
        <b/>
        <u/>
        <sz val="16"/>
        <rFont val="David"/>
      </rPr>
      <t xml:space="preserve"> סכום קבוע</t>
    </r>
    <r>
      <rPr>
        <sz val="16"/>
        <rFont val="David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</si>
  <si>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</si>
  <si>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</si>
  <si>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</si>
  <si>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</si>
  <si>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</si>
  <si>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</si>
  <si>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</si>
  <si>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</si>
  <si>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</si>
  <si>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</si>
  <si>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</si>
  <si>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</si>
  <si>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</si>
  <si>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</si>
  <si>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</si>
  <si>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</si>
  <si>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</si>
  <si>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</si>
  <si>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</si>
  <si>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</si>
  <si>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שיעור 4 - ערך נוכחי של סדרות - 31/3/2024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</si>
  <si>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</si>
  <si>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</si>
  <si>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</si>
  <si>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</si>
  <si>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</si>
  <si>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הסכום הנדרש חלף התשלומים עלה</t>
  </si>
  <si>
    <t>כי הסדרה ״טובה יותר״ משלמת את הכסף</t>
  </si>
  <si>
    <t>מוקדם יותר, בתחילת כל שנה במקום בסופה.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</si>
  <si>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</si>
  <si>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</si>
  <si>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</si>
  <si>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t xml:space="preserve">20 * 12 = </t>
  </si>
  <si>
    <t>סכום ההחזר / התשלום התקופתי החודשי:</t>
  </si>
  <si>
    <r>
      <t>במקרה הכללי (אם לא נאמר אחרת): בחירה בין חלופות כספיות (״</t>
    </r>
    <r>
      <rPr>
        <u/>
        <sz val="12"/>
        <color theme="1"/>
        <rFont val="David"/>
      </rPr>
      <t>מה תעדיף / תבחר: לקבל כך וכך היום או</t>
    </r>
  </si>
  <si>
    <r>
      <rPr>
        <u/>
        <sz val="12"/>
        <color theme="1"/>
        <rFont val="David"/>
      </rPr>
      <t>כך ואחרת בעתיד</t>
    </r>
    <r>
      <rPr>
        <sz val="12"/>
        <color theme="1"/>
        <rFont val="David"/>
      </rPr>
      <t xml:space="preserve">״) - תבוצע על בסיס </t>
    </r>
    <r>
      <rPr>
        <b/>
        <sz val="12"/>
        <color theme="1"/>
        <rFont val="David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</si>
  <si>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</si>
  <si>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</si>
  <si>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</si>
  <si>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</si>
  <si>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</rPr>
      <t>תחילת</t>
    </r>
    <r>
      <rPr>
        <sz val="12"/>
        <color theme="1"/>
        <rFont val="David"/>
      </rPr>
      <t xml:space="preserve"> שבוע, </t>
    </r>
    <r>
      <rPr>
        <b/>
        <sz val="12"/>
        <color theme="1"/>
        <rFont val="David"/>
      </rPr>
      <t>בנוסף</t>
    </r>
    <r>
      <rPr>
        <sz val="12"/>
        <color theme="1"/>
        <rFont val="David"/>
      </rPr>
      <t xml:space="preserve">, תקבל מוריה מארז גלידה הביתה בסכום של 500 ש״ח, וזאת במשך 12 שבועות. </t>
    </r>
  </si>
  <si>
    <t>משיכות</t>
  </si>
  <si>
    <t>צעד 1</t>
  </si>
  <si>
    <t>ערך נוכחי משיכות</t>
  </si>
  <si>
    <t>צעד 2</t>
  </si>
  <si>
    <t>ערך עתידי של הפקדות = ערך נוכחי משיכות</t>
  </si>
  <si>
    <t>וחילוץ PMT בהתאם</t>
  </si>
  <si>
    <t>תיאור המקרה ״ממעוף הציפור״:</t>
  </si>
  <si>
    <t>משפט:</t>
  </si>
  <si>
    <t>כשאני מזהה סדרת הפקדות שנועדה לממן סדרת משיכות, אז:</t>
  </si>
  <si>
    <t>אחשב ערך נוכחי של המשיכות</t>
  </si>
  <si>
    <t>אתייחס לכך בתור ערך עתידי (הצבירה הנדרשת) בגין ההפקדות</t>
  </si>
  <si>
    <t>אחלץ את סכום ההפקדה בהתאם.</t>
  </si>
  <si>
    <t xml:space="preserve">הרצאה 5 - 7.4.2024 - חישובי ריבית אפקטיבית </t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</si>
  <si>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</si>
  <si>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</si>
  <si>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</si>
  <si>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</si>
  <si>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</si>
  <si>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</si>
  <si>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</si>
  <si>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</si>
  <si>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</si>
  <si>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</si>
  <si>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</si>
  <si>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</si>
  <si>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</si>
  <si>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</si>
  <si>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</si>
  <si>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</rPr>
      <t>ריבית אפקטיבית</t>
    </r>
    <r>
      <rPr>
        <sz val="12"/>
        <color theme="1"/>
        <rFont val="David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</si>
  <si>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</rPr>
      <t>ריבית אפקטיבית זו הריבית האמיתית</t>
    </r>
    <r>
      <rPr>
        <sz val="12"/>
        <color theme="1"/>
        <rFont val="David"/>
      </rPr>
      <t>״.</t>
    </r>
  </si>
  <si>
    <r>
      <t xml:space="preserve">א.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</si>
  <si>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</si>
  <si>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</si>
  <si>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</si>
  <si>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</si>
  <si>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</si>
  <si>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</si>
  <si>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</si>
  <si>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</si>
  <si>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</si>
  <si>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</rPr>
      <t>בתום התקופה</t>
    </r>
    <r>
      <rPr>
        <sz val="12"/>
        <color theme="1"/>
        <rFont val="David"/>
      </rPr>
      <t xml:space="preserve"> (כאן: 21,600) לבין </t>
    </r>
    <r>
      <rPr>
        <b/>
        <u/>
        <sz val="12"/>
        <color theme="1"/>
        <rFont val="David"/>
      </rPr>
      <t>הערך המוחלט</t>
    </r>
    <r>
      <rPr>
        <sz val="12"/>
        <color theme="1"/>
        <rFont val="David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</si>
  <si>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</rPr>
      <t>פחות אחת</t>
    </r>
    <r>
      <rPr>
        <sz val="12"/>
        <color theme="1"/>
        <rFont val="David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</si>
  <si>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</rPr>
      <t>מחושבת כל רבעון</t>
    </r>
    <r>
      <rPr>
        <sz val="12"/>
        <color theme="1"/>
        <rFont val="David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</si>
  <si>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</rPr>
      <t>הריבית האפקטיבית</t>
    </r>
    <r>
      <rPr>
        <sz val="12"/>
        <rFont val="David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</si>
  <si>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</rPr>
      <t>הריבית הנתונה נקובה</t>
    </r>
    <r>
      <rPr>
        <sz val="12"/>
        <color theme="1"/>
        <rFont val="David"/>
      </rPr>
      <t xml:space="preserve"> ומחושבת </t>
    </r>
    <r>
      <rPr>
        <b/>
        <sz val="12"/>
        <color theme="1"/>
        <rFont val="David"/>
      </rPr>
      <t>מספר פעמים בתקופה</t>
    </r>
    <r>
      <rPr>
        <sz val="12"/>
        <color theme="1"/>
        <rFont val="David"/>
      </rPr>
      <t>:</t>
    </r>
  </si>
  <si>
    <t>שאלה 4 - נתונה ריבית נקובה, ריבית דריבית, חישוב ריבית אפקטיבית לתקופה שונה משנה</t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</si>
  <si>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</si>
  <si>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</si>
  <si>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</si>
  <si>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 xml:space="preserve">א. ריבית שנתית נקובה בשיעור 6% המחושבת כל חודש. </t>
  </si>
  <si>
    <t>ב. ריבית רבעונית אפקטיבית בשיעור 3.5%.</t>
  </si>
  <si>
    <t>נדרש: חשבו ריבית אפקטיבית חצי שנתית בכל חלופה. באיזו תכנית יבחר אלירן?</t>
  </si>
  <si>
    <t>re (hazi shana) = (1 + 6%/12)^6 - 1 =</t>
  </si>
  <si>
    <t>re (hazi shana) = (1 + 3.5%)^2 - 1 =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</si>
  <si>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</si>
  <si>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</si>
  <si>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</si>
  <si>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</si>
  <si>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</si>
  <si>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</si>
  <si>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</si>
  <si>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</si>
  <si>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</si>
  <si>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</si>
  <si>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</si>
  <si>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</si>
  <si>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</si>
  <si>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</si>
  <si>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</si>
  <si>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</si>
  <si>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 xml:space="preserve">הרצאה 6 - 14.4.2024 - חישובי ריבית אפקטיבית 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</si>
  <si>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</si>
  <si>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</si>
  <si>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</si>
  <si>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</si>
  <si>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</si>
  <si>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</si>
  <si>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</si>
  <si>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</si>
  <si>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</si>
  <si>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</si>
  <si>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</si>
  <si>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</si>
  <si>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</si>
  <si>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</si>
  <si>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</si>
  <si>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</si>
  <si>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</si>
  <si>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</si>
  <si>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</si>
  <si>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</si>
  <si>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</si>
  <si>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</si>
  <si>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</si>
  <si>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</si>
  <si>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</si>
  <si>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</si>
  <si>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</si>
  <si>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</si>
  <si>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</si>
  <si>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</si>
  <si>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</si>
  <si>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</si>
  <si>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</si>
  <si>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</si>
  <si>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</si>
  <si>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</rPr>
      <t>נתון שהריבית האפקטיבית</t>
    </r>
    <r>
      <rPr>
        <sz val="12"/>
        <color theme="1"/>
        <rFont val="David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</si>
  <si>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</si>
  <si>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</si>
  <si>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</si>
  <si>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</si>
  <si>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</si>
  <si>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</rPr>
      <t>ניכוי</t>
    </r>
    <r>
      <rPr>
        <sz val="12"/>
        <color theme="1"/>
        <rFont val="David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</si>
  <si>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</si>
  <si>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</si>
  <si>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</si>
  <si>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</si>
  <si>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</si>
  <si>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</si>
  <si>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</si>
  <si>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</rPr>
      <t>,</t>
    </r>
    <r>
      <rPr>
        <sz val="12"/>
        <rFont val="David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</si>
  <si>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</si>
  <si>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</si>
  <si>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</si>
  <si>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</si>
  <si>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</si>
  <si>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</si>
  <si>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</si>
  <si>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</si>
  <si>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</si>
  <si>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</si>
  <si>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</si>
  <si>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</si>
  <si>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</rPr>
      <t>,</t>
    </r>
    <r>
      <rPr>
        <sz val="11"/>
        <color theme="1"/>
        <rFont val="David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</si>
  <si>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</si>
  <si>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</si>
  <si>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</si>
  <si>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</si>
  <si>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</si>
  <si>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</si>
  <si>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</si>
  <si>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</si>
  <si>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</rPr>
      <t>סדרה</t>
    </r>
    <r>
      <rPr>
        <sz val="11"/>
        <color theme="1"/>
        <rFont val="David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</si>
  <si>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</si>
  <si>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</si>
  <si>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</si>
  <si>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</si>
  <si>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</si>
  <si>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</si>
  <si>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</si>
  <si>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</si>
  <si>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</si>
  <si>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</si>
  <si>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</si>
  <si>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</si>
  <si>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</si>
  <si>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</si>
  <si>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</si>
  <si>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</si>
  <si>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</si>
  <si>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</si>
  <si>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</si>
  <si>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</si>
  <si>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</si>
  <si>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</si>
  <si>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</si>
  <si>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</rPr>
      <t>האפקטיבית</t>
    </r>
    <r>
      <rPr>
        <sz val="11"/>
        <color theme="1"/>
        <rFont val="David"/>
      </rPr>
      <t xml:space="preserve"> לשנתיים אם </t>
    </r>
    <r>
      <rPr>
        <b/>
        <sz val="11"/>
        <color theme="1"/>
        <rFont val="David"/>
      </rPr>
      <t>הריבית הנקובה</t>
    </r>
    <r>
      <rPr>
        <sz val="11"/>
        <color theme="1"/>
        <rFont val="David"/>
      </rPr>
      <t xml:space="preserve"> לשנה 12% </t>
    </r>
    <r>
      <rPr>
        <b/>
        <sz val="11"/>
        <color theme="1"/>
        <rFont val="David"/>
      </rPr>
      <t>והיא מחושבת כל רבעון</t>
    </r>
    <r>
      <rPr>
        <sz val="11"/>
        <color theme="1"/>
        <rFont val="David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</si>
  <si>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</si>
  <si>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</si>
  <si>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</si>
  <si>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</si>
  <si>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</si>
  <si>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</si>
  <si>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</si>
  <si>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</si>
  <si>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</si>
  <si>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</si>
  <si>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</si>
  <si>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הרצאה 7 - 21.4.2024 - חישובי הלוואות ולוחות סילוקין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</si>
  <si>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</si>
  <si>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</si>
  <si>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</rPr>
      <t>תשלומים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 </t>
    </r>
    <r>
      <rPr>
        <b/>
        <sz val="12"/>
        <color theme="1"/>
        <rFont val="David"/>
      </rPr>
      <t>שווים</t>
    </r>
    <r>
      <rPr>
        <sz val="12"/>
        <color theme="1"/>
        <rFont val="David"/>
      </rPr>
      <t xml:space="preserve"> של קרן וריבית (לוח </t>
    </r>
    <r>
      <rPr>
        <b/>
        <u/>
        <sz val="12"/>
        <color theme="1"/>
        <rFont val="David"/>
      </rPr>
      <t>שפיצר</t>
    </r>
    <r>
      <rPr>
        <sz val="12"/>
        <color theme="1"/>
        <rFont val="David"/>
      </rPr>
      <t xml:space="preserve">). הריבית </t>
    </r>
  </si>
  <si>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בהלוואה היא 0.4%. הציגו את לוח הסילוקין.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</si>
  <si>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</si>
  <si>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</si>
  <si>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</rPr>
      <t>PPMT</t>
    </r>
  </si>
  <si>
    <r>
      <t xml:space="preserve">הדרכה: פונקציית </t>
    </r>
    <r>
      <rPr>
        <b/>
        <sz val="12"/>
        <color rgb="FFFF0000"/>
        <rFont val="David"/>
      </rPr>
      <t>IPMT</t>
    </r>
  </si>
  <si>
    <t>מסקנה: התשלום על חשבון הקרן שנכלל במסגרת ההחזר ה-28 הוא 46.45 ש״ח.</t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</si>
  <si>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</si>
  <si>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</si>
  <si>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</si>
  <si>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</si>
  <si>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</si>
  <si>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</si>
  <si>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ריבית תקופתית לתקופת תשלום - כאן נתונה 0.8%</t>
  </si>
  <si>
    <t>החלק החשוב</t>
  </si>
  <si>
    <r>
      <t xml:space="preserve">חישוב יתרה יתבסס על </t>
    </r>
    <r>
      <rPr>
        <b/>
        <u/>
        <sz val="12"/>
        <color rgb="FFFF0000"/>
        <rFont val="David"/>
      </rPr>
      <t>מס׳ התשלומים שנותרו</t>
    </r>
  </si>
  <si>
    <t>הערך המחולץ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</si>
  <si>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</si>
  <si>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</si>
  <si>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</si>
  <si>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</si>
  <si>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</si>
  <si>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</si>
  <si>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</si>
  <si>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</si>
  <si>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</si>
  <si>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</si>
  <si>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</si>
  <si>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</si>
  <si>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</rPr>
      <t>שנה אחת</t>
    </r>
    <r>
      <rPr>
        <sz val="12"/>
        <color theme="1"/>
        <rFont val="David"/>
      </rPr>
      <t xml:space="preserve"> יכלול </t>
    </r>
    <r>
      <rPr>
        <b/>
        <u/>
        <sz val="12"/>
        <color theme="1"/>
        <rFont val="David"/>
      </rPr>
      <t>תשלום חודשי קבוע על חשבון הקרן</t>
    </r>
    <r>
      <rPr>
        <sz val="12"/>
        <color theme="1"/>
        <rFont val="David"/>
      </rPr>
      <t>,</t>
    </r>
  </si>
  <si>
    <r>
      <t xml:space="preserve">ריבית </t>
    </r>
    <r>
      <rPr>
        <b/>
        <u/>
        <sz val="12"/>
        <color theme="1"/>
        <rFont val="David"/>
      </rPr>
      <t>שנתית</t>
    </r>
    <r>
      <rPr>
        <sz val="12"/>
        <color theme="1"/>
        <rFont val="David"/>
      </rPr>
      <t xml:space="preserve"> נקובה: 8%, מחושבת כל חודש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</si>
  <si>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</si>
  <si>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</si>
  <si>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</si>
  <si>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</si>
  <si>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</si>
  <si>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</si>
  <si>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</si>
  <si>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</si>
  <si>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</si>
  <si>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</si>
  <si>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</si>
  <si>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</si>
  <si>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</si>
  <si>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</si>
  <si>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</si>
  <si>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</rPr>
      <t>הציגו את לוח הסילוקין</t>
    </r>
    <r>
      <rPr>
        <sz val="11"/>
        <color theme="1"/>
        <rFont val="David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</si>
  <si>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</si>
  <si>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</si>
  <si>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</rPr>
      <t>שווים</t>
    </r>
    <r>
      <rPr>
        <sz val="11"/>
        <color theme="1"/>
        <rFont val="David"/>
      </rPr>
      <t xml:space="preserve"> במשך שנה כאשר הריבית </t>
    </r>
    <r>
      <rPr>
        <u/>
        <sz val="11"/>
        <color theme="1"/>
        <rFont val="David"/>
      </rPr>
      <t>השנתית הנקובה</t>
    </r>
    <r>
      <rPr>
        <sz val="11"/>
        <color theme="1"/>
        <rFont val="David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</si>
  <si>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</si>
  <si>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</si>
  <si>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</si>
  <si>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</si>
  <si>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</si>
  <si>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</si>
  <si>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</si>
  <si>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</si>
  <si>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</si>
  <si>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</si>
  <si>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</si>
  <si>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</si>
  <si>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</si>
  <si>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</si>
  <si>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</si>
  <si>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</si>
  <si>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</si>
  <si>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</si>
  <si>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</si>
  <si>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</si>
  <si>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</rPr>
      <t>בשונה</t>
    </r>
    <r>
      <rPr>
        <sz val="11"/>
        <color theme="1"/>
        <rFont val="David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</si>
  <si>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</rPr>
      <t>קרן</t>
    </r>
    <r>
      <rPr>
        <b/>
        <sz val="11"/>
        <color theme="1"/>
        <rFont val="David"/>
      </rPr>
      <t xml:space="preserve"> שווים) - נוסחאות קיצור לפתרון מהיר (המחשנו את א, </t>
    </r>
    <r>
      <rPr>
        <b/>
        <sz val="11"/>
        <color rgb="FFFF0000"/>
        <rFont val="David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</si>
  <si>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</si>
  <si>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</si>
  <si>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</si>
  <si>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</si>
  <si>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</si>
  <si>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</si>
  <si>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</si>
  <si>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</si>
  <si>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</si>
  <si>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</si>
  <si>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</si>
  <si>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</si>
  <si>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</si>
  <si>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</si>
  <si>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</si>
  <si>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</si>
  <si>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</rPr>
      <t xml:space="preserve">שווים </t>
    </r>
    <r>
      <rPr>
        <sz val="11"/>
        <color theme="1"/>
        <rFont val="David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</si>
  <si>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</si>
  <si>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</si>
  <si>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</si>
  <si>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</si>
  <si>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</si>
  <si>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</si>
  <si>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</si>
  <si>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</si>
  <si>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</si>
  <si>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</si>
  <si>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</si>
  <si>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</si>
  <si>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</si>
  <si>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</si>
  <si>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</si>
  <si>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</si>
  <si>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</si>
  <si>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</si>
  <si>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</si>
  <si>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</rPr>
      <t>במונה: מדד עדכני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במכנה - מדד בסיס</t>
    </r>
    <r>
      <rPr>
        <sz val="11"/>
        <color theme="1"/>
        <rFont val="David"/>
      </rPr>
      <t>.</t>
    </r>
  </si>
  <si>
    <r>
      <t xml:space="preserve">ב. </t>
    </r>
    <r>
      <rPr>
        <u/>
        <sz val="11"/>
        <color theme="1"/>
        <rFont val="David"/>
      </rPr>
      <t>על בסיס היחס בין המדד ההתחלתי למדד הסופי</t>
    </r>
    <r>
      <rPr>
        <sz val="11"/>
        <color theme="1"/>
        <rFont val="David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</si>
  <si>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</si>
  <si>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</si>
  <si>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</si>
  <si>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</si>
  <si>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</si>
  <si>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</si>
  <si>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</si>
  <si>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</si>
  <si>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</si>
  <si>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</si>
  <si>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</si>
  <si>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</si>
  <si>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</si>
  <si>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</si>
  <si>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</rPr>
      <t>ללא מינוס אחת</t>
    </r>
    <r>
      <rPr>
        <b/>
        <sz val="11"/>
        <rFont val="David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</si>
  <si>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</si>
  <si>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</si>
  <si>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,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ו</t>
    </r>
    <r>
      <rPr>
        <b/>
        <u/>
        <sz val="11"/>
        <color theme="1"/>
        <rFont val="David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</si>
  <si>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</si>
  <si>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</si>
  <si>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</si>
  <si>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</si>
  <si>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</si>
  <si>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</si>
  <si>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</si>
  <si>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</si>
  <si>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</rPr>
      <t>תשלומים</t>
    </r>
    <r>
      <rPr>
        <sz val="11"/>
        <color theme="1"/>
        <rFont val="David"/>
      </rPr>
      <t xml:space="preserve"> חודשיים </t>
    </r>
    <r>
      <rPr>
        <b/>
        <u/>
        <sz val="11"/>
        <color theme="1"/>
        <rFont val="David"/>
      </rPr>
      <t>שווים</t>
    </r>
    <r>
      <rPr>
        <sz val="11"/>
        <color theme="1"/>
        <rFont val="David"/>
      </rPr>
      <t>. נדרש:</t>
    </r>
  </si>
  <si>
    <r>
      <t xml:space="preserve">פירעון </t>
    </r>
    <r>
      <rPr>
        <b/>
        <u/>
        <sz val="11"/>
        <color theme="1"/>
        <rFont val="David"/>
      </rPr>
      <t>בתשלומים שווים</t>
    </r>
    <r>
      <rPr>
        <sz val="11"/>
        <color theme="1"/>
        <rFont val="David"/>
      </rPr>
      <t xml:space="preserve"> = לוח </t>
    </r>
    <r>
      <rPr>
        <b/>
        <u/>
        <sz val="11"/>
        <color theme="1"/>
        <rFont val="David"/>
      </rPr>
      <t>שפיצר</t>
    </r>
    <r>
      <rPr>
        <sz val="11"/>
        <color theme="1"/>
        <rFont val="David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</si>
  <si>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</si>
  <si>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</si>
  <si>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</si>
  <si>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</si>
  <si>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</si>
  <si>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</si>
  <si>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</si>
  <si>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</si>
  <si>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</si>
  <si>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</si>
  <si>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</si>
  <si>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</si>
  <si>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</si>
  <si>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</si>
  <si>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</si>
  <si>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</si>
  <si>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</si>
  <si>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</si>
  <si>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</si>
  <si>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</si>
  <si>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</si>
  <si>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</rPr>
      <t>הנקובה השנתית</t>
    </r>
    <r>
      <rPr>
        <b/>
        <sz val="11"/>
        <color theme="1"/>
        <rFont val="David"/>
      </rPr>
      <t xml:space="preserve"> היא </t>
    </r>
    <r>
      <rPr>
        <b/>
        <u/>
        <sz val="11"/>
        <color theme="1"/>
        <rFont val="David"/>
      </rPr>
      <t>4.8%</t>
    </r>
    <r>
      <rPr>
        <b/>
        <sz val="11"/>
        <color theme="1"/>
        <rFont val="David"/>
      </rPr>
      <t>, מחושבת כל חודש,</t>
    </r>
  </si>
  <si>
    <r>
      <rPr>
        <b/>
        <u/>
        <sz val="11"/>
        <color theme="1"/>
        <rFont val="David"/>
      </rPr>
      <t>וצמודה למדד</t>
    </r>
    <r>
      <rPr>
        <b/>
        <sz val="11"/>
        <color theme="1"/>
        <rFont val="David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</si>
  <si>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</si>
  <si>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</si>
  <si>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</si>
  <si>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</rPr>
      <t>רו״ח</t>
    </r>
    <r>
      <rPr>
        <sz val="11"/>
        <color theme="1"/>
        <rFont val="David"/>
      </rPr>
      <t xml:space="preserve"> </t>
    </r>
    <r>
      <rPr>
        <sz val="16"/>
        <color theme="1"/>
        <rFont val="David"/>
      </rPr>
      <t>ד״ר</t>
    </r>
    <r>
      <rPr>
        <sz val="11"/>
        <color theme="1"/>
        <rFont val="David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</si>
  <si>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</si>
  <si>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</si>
  <si>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</si>
  <si>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</si>
  <si>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</si>
  <si>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</si>
  <si>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</si>
  <si>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</si>
  <si>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</si>
  <si>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</si>
  <si>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</si>
  <si>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</si>
  <si>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</si>
  <si>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</si>
  <si>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</si>
  <si>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</si>
  <si>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</si>
  <si>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</si>
  <si>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</si>
  <si>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</si>
  <si>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</si>
  <si>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</si>
  <si>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</si>
  <si>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</si>
  <si>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</si>
  <si>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</si>
  <si>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</si>
  <si>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</si>
  <si>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</si>
  <si>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</si>
  <si>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</si>
  <si>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</si>
  <si>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</si>
  <si>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</si>
  <si>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</si>
  <si>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</si>
  <si>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</si>
  <si>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</si>
  <si>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</si>
  <si>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</si>
  <si>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</si>
  <si>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</si>
  <si>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</si>
  <si>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</si>
  <si>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</si>
  <si>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</si>
  <si>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</si>
  <si>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</si>
  <si>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</si>
  <si>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</si>
  <si>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</si>
  <si>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</si>
  <si>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</si>
  <si>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</si>
  <si>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</si>
  <si>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</si>
  <si>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</si>
  <si>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</si>
  <si>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</si>
  <si>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</si>
  <si>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</si>
  <si>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</si>
  <si>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</si>
  <si>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</si>
  <si>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</si>
  <si>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</si>
  <si>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</si>
  <si>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</si>
  <si>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</si>
  <si>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</si>
  <si>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</si>
  <si>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</si>
  <si>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</si>
  <si>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</si>
  <si>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</si>
  <si>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</si>
  <si>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</si>
  <si>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</si>
  <si>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</si>
  <si>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</si>
  <si>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</si>
  <si>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</si>
  <si>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</si>
  <si>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</si>
  <si>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</si>
  <si>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</si>
  <si>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</si>
  <si>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</si>
  <si>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</si>
  <si>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</si>
  <si>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</si>
  <si>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</si>
  <si>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</si>
  <si>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</si>
  <si>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</si>
  <si>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</si>
  <si>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</si>
  <si>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</si>
  <si>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</si>
  <si>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</si>
  <si>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</si>
  <si>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</si>
  <si>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</si>
  <si>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</si>
  <si>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</si>
  <si>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</si>
  <si>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</si>
  <si>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</si>
  <si>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</si>
  <si>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</si>
  <si>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</si>
  <si>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</si>
  <si>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</rPr>
      <t>החודשית</t>
    </r>
    <r>
      <rPr>
        <sz val="11"/>
        <color theme="1"/>
        <rFont val="David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</si>
  <si>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</si>
  <si>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</si>
  <si>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</si>
  <si>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</rPr>
      <t>72</t>
    </r>
    <r>
      <rPr>
        <sz val="11"/>
        <color theme="1"/>
        <rFont val="David"/>
      </rPr>
      <t xml:space="preserve"> = 12 * 6</t>
    </r>
  </si>
  <si>
    <t>98,000 * (1 + r)^9 = 150,000</t>
  </si>
  <si>
    <t>זו המשוואה המתקיימת:</t>
  </si>
  <si>
    <t>אבל אנו נפתור ב-Excel: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</si>
</sst>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</font>
    <font>
      <sz val="16"/>
      <name val="David"/>
    </font>
    <font>
      <b/>
      <u/>
      <sz val="16"/>
      <name val="David"/>
    </font>
    <font>
      <u/>
      <sz val="16"/>
      <name val="David"/>
    </font>
    <font>
      <sz val="11"/>
      <name val="David"/>
    </font>
    <font>
      <sz val="11"/>
      <color theme="1"/>
      <name val="Calibri"/>
      <family val="2"/>
      <charset val="177"/>
      <scheme val="minor"/>
    </font>
    <font>
      <sz val="11"/>
      <color theme="1"/>
      <name val="David"/>
    </font>
    <font>
      <b/>
      <sz val="11"/>
      <color theme="1"/>
      <name val="David"/>
    </font>
    <font>
      <sz val="11"/>
      <color rgb="FFFF0000"/>
      <name val="David"/>
    </font>
    <font>
      <sz val="11"/>
      <color rgb="FF0070C0"/>
      <name val="David"/>
    </font>
    <font>
      <u/>
      <sz val="11"/>
      <color theme="1"/>
      <name val="David"/>
    </font>
    <font>
      <b/>
      <sz val="11"/>
      <color rgb="FFFF0000"/>
      <name val="David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FF0000"/>
      <name val="David"/>
    </font>
    <font>
      <sz val="10"/>
      <color theme="1"/>
      <name val="David"/>
    </font>
    <font>
      <sz val="12"/>
      <color rgb="FFFF0000"/>
      <name val="David"/>
    </font>
    <font>
      <sz val="12"/>
      <color rgb="FF0070C0"/>
      <name val="David"/>
    </font>
    <font>
      <sz val="12"/>
      <color rgb="FF00B050"/>
      <name val="David"/>
    </font>
    <font>
      <sz val="11"/>
      <color rgb="FF00B050"/>
      <name val="David"/>
    </font>
    <font>
      <b/>
      <sz val="14"/>
      <color theme="1"/>
      <name val="David"/>
    </font>
    <font>
      <b/>
      <sz val="12"/>
      <color rgb="FF0070C0"/>
      <name val="David"/>
    </font>
    <font>
      <sz val="12"/>
      <color theme="0"/>
      <name val="David"/>
    </font>
    <font>
      <sz val="11"/>
      <color theme="0"/>
      <name val="David"/>
    </font>
    <font>
      <b/>
      <sz val="11"/>
      <color rgb="FF0070C0"/>
      <name val="David"/>
    </font>
    <font>
      <b/>
      <sz val="11"/>
      <color rgb="FF000000"/>
      <name val="David"/>
    </font>
    <font>
      <b/>
      <u/>
      <sz val="11"/>
      <color theme="1"/>
      <name val="David"/>
    </font>
    <font>
      <sz val="11"/>
      <color theme="1"/>
      <name val="Cambria Math"/>
      <family val="1"/>
    </font>
    <font>
      <sz val="11"/>
      <color theme="4" tint="-0.249977111117893"/>
      <name val="David"/>
    </font>
    <font>
      <sz val="11"/>
      <color rgb="FF7030A0"/>
      <name val="David"/>
    </font>
    <font>
      <sz val="11"/>
      <color theme="5" tint="-0.249977111117893"/>
      <name val="David"/>
    </font>
    <font>
      <sz val="12"/>
      <name val="David"/>
    </font>
    <font>
      <b/>
      <sz val="12"/>
      <color theme="0"/>
      <name val="David"/>
    </font>
    <font>
      <b/>
      <sz val="16"/>
      <color theme="1"/>
      <name val="David"/>
    </font>
    <font>
      <b/>
      <sz val="11"/>
      <name val="David"/>
    </font>
    <font>
      <b/>
      <u/>
      <sz val="12"/>
      <color theme="1"/>
      <name val="David"/>
    </font>
    <font>
      <b/>
      <sz val="12"/>
      <name val="David"/>
    </font>
    <font>
      <sz val="9"/>
      <color theme="1"/>
      <name val="David"/>
    </font>
    <font>
      <sz val="10"/>
      <color rgb="FF000000"/>
      <name val="Arial"/>
      <family val="2"/>
    </font>
    <font>
      <b/>
      <sz val="11"/>
      <color rgb="FF7030A0"/>
      <name val="David"/>
    </font>
    <font>
      <sz val="8"/>
      <name val="Calibri"/>
      <family val="2"/>
      <scheme val="minor"/>
    </font>
    <font>
      <b/>
      <sz val="16"/>
      <color rgb="FFFF0000"/>
      <name val="David"/>
    </font>
    <font>
      <b/>
      <sz val="18"/>
      <name val="David"/>
    </font>
    <font>
      <sz val="8"/>
      <color theme="1"/>
      <name val="David"/>
    </font>
    <font>
      <sz val="12"/>
      <color theme="9" tint="0.39997558519241921"/>
      <name val="David"/>
    </font>
    <font>
      <sz val="12"/>
      <color theme="2" tint="-9.9978637043366805E-2"/>
      <name val="David"/>
    </font>
    <font>
      <u/>
      <sz val="12"/>
      <color theme="1"/>
      <name val="David"/>
    </font>
    <font>
      <b/>
      <sz val="12"/>
      <color rgb="FF00B0F0"/>
      <name val="David"/>
    </font>
    <font>
      <sz val="12"/>
      <color theme="5"/>
      <name val="David"/>
    </font>
    <font>
      <b/>
      <sz val="12"/>
      <color rgb="FF7030A0"/>
      <name val="David"/>
    </font>
    <font>
      <u/>
      <sz val="11"/>
      <color rgb="FF0070C0"/>
      <name val="David"/>
    </font>
    <font>
      <sz val="12"/>
      <color rgb="FFFF7E79"/>
      <name val="David"/>
    </font>
    <font>
      <sz val="11"/>
      <color rgb="FF00B0F0"/>
      <name val="David"/>
    </font>
    <font>
      <b/>
      <sz val="11"/>
      <color rgb="FF00B050"/>
      <name val="David"/>
    </font>
    <font>
      <b/>
      <sz val="10"/>
      <name val="David"/>
    </font>
    <font>
      <sz val="16"/>
      <color theme="1"/>
      <name val="David"/>
    </font>
    <font>
      <b/>
      <u/>
      <sz val="16"/>
      <color rgb="FFFF0000"/>
      <name val="David"/>
    </font>
    <font>
      <b/>
      <sz val="18"/>
      <color theme="1"/>
      <name val="David"/>
    </font>
    <font>
      <sz val="9"/>
      <color theme="0"/>
      <name val="David"/>
    </font>
    <font>
      <b/>
      <sz val="12"/>
      <color theme="2" tint="-0.249977111117893"/>
      <name val="David"/>
    </font>
    <font>
      <b/>
      <u/>
      <sz val="12"/>
      <color rgb="FFFF0000"/>
      <name val="David"/>
    </font>
    <font>
      <b/>
      <sz val="11"/>
      <color theme="0"/>
      <name val="David"/>
    </font>
    <font>
      <b/>
      <u/>
      <sz val="11"/>
      <name val="David"/>
    </font>
    <font>
      <strike/>
      <sz val="11"/>
      <color theme="1"/>
      <name val="David"/>
    </font>
  </fonts>
  <fills count="31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26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8" fontId="2" fillId="3" borderId="20" xfId="0" applyNumberFormat="1" applyFont="1" applyFill="1" applyBorder="1" applyAlignment="1">
      <alignment horizontal="center"/>
    </xf>
    <xf numFmtId="0" fontId="2" fillId="0" borderId="22" xfId="0" applyFont="1" applyBorder="1" applyAlignment="1">
      <alignment horizontal="center"/>
    </xf>
    <xf numFmtId="8" fontId="2" fillId="3" borderId="12" xfId="0" applyNumberFormat="1" applyFont="1" applyFill="1" applyBorder="1" applyAlignment="1">
      <alignment horizontal="center"/>
    </xf>
    <xf numFmtId="8" fontId="3" fillId="3" borderId="12" xfId="0" applyNumberFormat="1" applyFont="1" applyFill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8" fontId="3" fillId="8" borderId="12" xfId="0" applyNumberFormat="1" applyFont="1" applyFill="1" applyBorder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8" fontId="3" fillId="27" borderId="12" xfId="0" applyNumberFormat="1" applyFont="1" applyFill="1" applyBorder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4" fontId="3" fillId="7" borderId="6" xfId="0" applyNumberFormat="1" applyFont="1" applyFill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169" fontId="6" fillId="3" borderId="0" xfId="0" applyNumberFormat="1" applyFont="1" applyFill="1" applyAlignment="1">
      <alignment horizont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1" fontId="33" fillId="9" borderId="0" xfId="0" applyNumberFormat="1" applyFont="1" applyFill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6" xfId="0" applyFont="1" applyBorder="1"/>
    <xf numFmtId="0" fontId="15" fillId="0" borderId="17" xfId="0" applyFont="1" applyBorder="1"/>
    <xf numFmtId="0" fontId="17" fillId="0" borderId="0" xfId="0" applyFont="1" applyAlignment="1">
      <alignment horizontal="center"/>
    </xf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24" borderId="20" xfId="0" applyFont="1" applyFill="1" applyBorder="1" applyAlignment="1">
      <alignment horizontal="center"/>
    </xf>
    <xf numFmtId="0" fontId="14" fillId="3" borderId="21" xfId="0" applyFont="1" applyFill="1" applyBorder="1" applyAlignment="1">
      <alignment horizontal="center"/>
    </xf>
    <xf numFmtId="0" fontId="14" fillId="3" borderId="22" xfId="0" applyFont="1" applyFill="1" applyBorder="1" applyAlignment="1">
      <alignment horizontal="center"/>
    </xf>
    <xf numFmtId="0" fontId="15" fillId="0" borderId="16" xfId="0" applyFont="1" applyBorder="1"/>
    <xf numFmtId="0" fontId="14" fillId="0" borderId="17" xfId="0" applyFont="1" applyBorder="1" applyAlignment="1">
      <alignment horizontal="center"/>
    </xf>
    <xf numFmtId="2" fontId="18" fillId="0" borderId="0" xfId="0" applyNumberFormat="1" applyFont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2" fontId="20" fillId="3" borderId="12" xfId="0" applyNumberFormat="1" applyFont="1" applyFill="1" applyBorder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24" fillId="0" borderId="0" xfId="0" applyFont="1" applyAlignment="1">
      <alignment horizontal="left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4" fontId="14" fillId="29" borderId="3" xfId="0" applyNumberFormat="1" applyFont="1" applyFill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18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4" fillId="8" borderId="6" xfId="0" applyFont="1" applyFill="1" applyBorder="1"/>
    <xf numFmtId="0" fontId="14" fillId="8" borderId="16" xfId="0" applyFont="1" applyFill="1" applyBorder="1"/>
    <xf numFmtId="0" fontId="14" fillId="3" borderId="6" xfId="0" applyFont="1" applyFill="1" applyBorder="1"/>
    <xf numFmtId="0" fontId="14" fillId="3" borderId="16" xfId="0" applyFont="1" applyFill="1" applyBorder="1"/>
    <xf numFmtId="0" fontId="14" fillId="16" borderId="6" xfId="0" applyFont="1" applyFill="1" applyBorder="1"/>
    <xf numFmtId="0" fontId="14" fillId="16" borderId="0" xfId="0" applyFont="1" applyFill="1"/>
    <xf numFmtId="0" fontId="14" fillId="16" borderId="16" xfId="0" applyFont="1" applyFill="1" applyBorder="1"/>
    <xf numFmtId="173" fontId="14" fillId="0" borderId="17" xfId="2" applyNumberFormat="1" applyFont="1" applyBorder="1" applyAlignment="1">
      <alignment horizontal="center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3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11" xfId="0" applyFont="1" applyBorder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0" fontId="8" fillId="0" borderId="0" xfId="0" applyFont="1" applyFill="1"/>
    <xf numFmtId="3" fontId="8" fillId="0" borderId="0" xfId="0" applyNumberFormat="1" applyFont="1" applyFill="1" applyAlignment="1">
      <alignment horizontal="center"/>
    </xf>
    <xf numFmtId="0" fontId="8" fillId="0" borderId="0" xfId="0" applyFont="1" applyFill="1" applyBorder="1" applyAlignment="1">
      <alignment horizontal="center"/>
    </xf>
    <xf numFmtId="9" fontId="8" fillId="0" borderId="0" xfId="0" applyNumberFormat="1" applyFont="1" applyFill="1" applyBorder="1" applyAlignment="1">
      <alignment horizontal="center"/>
    </xf>
    <xf numFmtId="3" fontId="8" fillId="0" borderId="0" xfId="0" applyNumberFormat="1" applyFont="1" applyFill="1" applyBorder="1" applyAlignment="1">
      <alignment horizontal="center"/>
    </xf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00FA00"/>
      <color rgb="FFFF8AD8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jpe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924971</xdr:colOff>
      <xdr:row>163</xdr:row>
      <xdr:rowOff>183526</xdr:rowOff>
    </xdr:from>
    <xdr:to>
      <xdr:col>4</xdr:col>
      <xdr:colOff>117456</xdr:colOff>
      <xdr:row>165</xdr:row>
      <xdr:rowOff>102774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63270983" y="44420636"/>
          <a:ext cx="256936" cy="4478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1130520</xdr:colOff>
      <xdr:row>163</xdr:row>
      <xdr:rowOff>212890</xdr:rowOff>
    </xdr:from>
    <xdr:to>
      <xdr:col>3</xdr:col>
      <xdr:colOff>66068</xdr:colOff>
      <xdr:row>165</xdr:row>
      <xdr:rowOff>132138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64386822" y="44450000"/>
          <a:ext cx="256936" cy="462485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873584</xdr:colOff>
      <xdr:row>188</xdr:row>
      <xdr:rowOff>168843</xdr:rowOff>
    </xdr:from>
    <xdr:to>
      <xdr:col>4</xdr:col>
      <xdr:colOff>183526</xdr:colOff>
      <xdr:row>190</xdr:row>
      <xdr:rowOff>80752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63204913" y="51071618"/>
          <a:ext cx="374393" cy="44046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1257508</xdr:colOff>
      <xdr:row>79</xdr:row>
      <xdr:rowOff>212361</xdr:rowOff>
    </xdr:from>
    <xdr:to>
      <xdr:col>2</xdr:col>
      <xdr:colOff>179049</xdr:colOff>
      <xdr:row>81</xdr:row>
      <xdr:rowOff>162394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52518525" y="21227738"/>
          <a:ext cx="574623" cy="4955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155</xdr:row>
      <xdr:rowOff>13705</xdr:rowOff>
    </xdr:from>
    <xdr:to>
      <xdr:col>4</xdr:col>
      <xdr:colOff>589317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00228345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99</xdr:row>
      <xdr:rowOff>0</xdr:rowOff>
    </xdr:from>
    <xdr:to>
      <xdr:col>3</xdr:col>
      <xdr:colOff>395111</xdr:colOff>
      <xdr:row>100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111</xdr:row>
      <xdr:rowOff>101386</xdr:rowOff>
    </xdr:from>
    <xdr:to>
      <xdr:col>4</xdr:col>
      <xdr:colOff>90715</xdr:colOff>
      <xdr:row>112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111</xdr:row>
      <xdr:rowOff>101386</xdr:rowOff>
    </xdr:from>
    <xdr:to>
      <xdr:col>3</xdr:col>
      <xdr:colOff>90715</xdr:colOff>
      <xdr:row>112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111</xdr:row>
      <xdr:rowOff>101386</xdr:rowOff>
    </xdr:from>
    <xdr:to>
      <xdr:col>3</xdr:col>
      <xdr:colOff>90715</xdr:colOff>
      <xdr:row>112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111</xdr:row>
      <xdr:rowOff>101386</xdr:rowOff>
    </xdr:from>
    <xdr:to>
      <xdr:col>1</xdr:col>
      <xdr:colOff>90715</xdr:colOff>
      <xdr:row>112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137</xdr:row>
      <xdr:rowOff>65917</xdr:rowOff>
    </xdr:from>
    <xdr:to>
      <xdr:col>7</xdr:col>
      <xdr:colOff>272457</xdr:colOff>
      <xdr:row>137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134</xdr:row>
      <xdr:rowOff>138428</xdr:rowOff>
    </xdr:from>
    <xdr:to>
      <xdr:col>4</xdr:col>
      <xdr:colOff>410883</xdr:colOff>
      <xdr:row>136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139</xdr:row>
      <xdr:rowOff>184568</xdr:rowOff>
    </xdr:from>
    <xdr:to>
      <xdr:col>3</xdr:col>
      <xdr:colOff>457024</xdr:colOff>
      <xdr:row>141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706141</xdr:colOff>
      <xdr:row>85</xdr:row>
      <xdr:rowOff>168631</xdr:rowOff>
    </xdr:from>
    <xdr:to>
      <xdr:col>2</xdr:col>
      <xdr:colOff>100124</xdr:colOff>
      <xdr:row>87</xdr:row>
      <xdr:rowOff>73776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706141</xdr:colOff>
      <xdr:row>110</xdr:row>
      <xdr:rowOff>168631</xdr:rowOff>
    </xdr:from>
    <xdr:to>
      <xdr:col>4</xdr:col>
      <xdr:colOff>100124</xdr:colOff>
      <xdr:row>112</xdr:row>
      <xdr:rowOff>73776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614132</xdr:colOff>
      <xdr:row>122</xdr:row>
      <xdr:rowOff>95399</xdr:rowOff>
    </xdr:from>
    <xdr:to>
      <xdr:col>11</xdr:col>
      <xdr:colOff>101488</xdr:colOff>
      <xdr:row>123</xdr:row>
      <xdr:rowOff>155024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44816216-014E-1CCB-DA3D-CF7D2580BA0B}"/>
            </a:ext>
          </a:extLst>
        </xdr:cNvPr>
        <xdr:cNvSpPr/>
      </xdr:nvSpPr>
      <xdr:spPr>
        <a:xfrm>
          <a:off x="13471879639" y="24493709"/>
          <a:ext cx="310173" cy="262348"/>
        </a:xfrm>
        <a:custGeom>
          <a:avLst/>
          <a:gdLst>
            <a:gd name="connsiteX0" fmla="*/ 310173 w 310173"/>
            <a:gd name="connsiteY0" fmla="*/ 262348 h 262348"/>
            <a:gd name="connsiteX1" fmla="*/ 126 w 310173"/>
            <a:gd name="connsiteY1" fmla="*/ 77512 h 262348"/>
            <a:gd name="connsiteX2" fmla="*/ 280361 w 310173"/>
            <a:gd name="connsiteY2" fmla="*/ 0 h 26234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10173" h="262348">
              <a:moveTo>
                <a:pt x="310173" y="262348"/>
              </a:moveTo>
              <a:cubicBezTo>
                <a:pt x="157634" y="191792"/>
                <a:pt x="5095" y="121237"/>
                <a:pt x="126" y="77512"/>
              </a:cubicBezTo>
              <a:cubicBezTo>
                <a:pt x="-4843" y="33787"/>
                <a:pt x="137759" y="16893"/>
                <a:pt x="280361" y="0"/>
              </a:cubicBezTo>
            </a:path>
          </a:pathLst>
        </a:custGeom>
        <a:ln w="9525" cap="flat" cmpd="sng" algn="ctr">
          <a:solidFill>
            <a:schemeClr val="accent5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697606</xdr:colOff>
      <xdr:row>136</xdr:row>
      <xdr:rowOff>119249</xdr:rowOff>
    </xdr:from>
    <xdr:to>
      <xdr:col>9</xdr:col>
      <xdr:colOff>137137</xdr:colOff>
      <xdr:row>138</xdr:row>
      <xdr:rowOff>77512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45FB3B92-9668-48F3-85A8-F12663EAF0E5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137</xdr:row>
      <xdr:rowOff>113286</xdr:rowOff>
    </xdr:from>
    <xdr:to>
      <xdr:col>4</xdr:col>
      <xdr:colOff>793005</xdr:colOff>
      <xdr:row>137</xdr:row>
      <xdr:rowOff>113286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7B5036AA-56C5-1030-E15E-4850E8ACDED8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697606</xdr:colOff>
      <xdr:row>147</xdr:row>
      <xdr:rowOff>119249</xdr:rowOff>
    </xdr:from>
    <xdr:to>
      <xdr:col>9</xdr:col>
      <xdr:colOff>137137</xdr:colOff>
      <xdr:row>149</xdr:row>
      <xdr:rowOff>77512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FBD77BF-E2BD-0540-A70A-FB0F1D726A8D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148</xdr:row>
      <xdr:rowOff>113286</xdr:rowOff>
    </xdr:from>
    <xdr:to>
      <xdr:col>4</xdr:col>
      <xdr:colOff>793005</xdr:colOff>
      <xdr:row>148</xdr:row>
      <xdr:rowOff>113286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42977F5-750F-C344-9BAA-F0D3CE7F8B2C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685575</xdr:colOff>
      <xdr:row>188</xdr:row>
      <xdr:rowOff>157345</xdr:rowOff>
    </xdr:from>
    <xdr:to>
      <xdr:col>7</xdr:col>
      <xdr:colOff>56194</xdr:colOff>
      <xdr:row>190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190</xdr:row>
      <xdr:rowOff>89912</xdr:rowOff>
    </xdr:from>
    <xdr:to>
      <xdr:col>6</xdr:col>
      <xdr:colOff>73052</xdr:colOff>
      <xdr:row>190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186</xdr:row>
      <xdr:rowOff>106770</xdr:rowOff>
    </xdr:from>
    <xdr:to>
      <xdr:col>6</xdr:col>
      <xdr:colOff>764247</xdr:colOff>
      <xdr:row>189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425</xdr:row>
      <xdr:rowOff>157345</xdr:rowOff>
    </xdr:from>
    <xdr:to>
      <xdr:col>7</xdr:col>
      <xdr:colOff>56194</xdr:colOff>
      <xdr:row>427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427</xdr:row>
      <xdr:rowOff>89912</xdr:rowOff>
    </xdr:from>
    <xdr:to>
      <xdr:col>6</xdr:col>
      <xdr:colOff>73052</xdr:colOff>
      <xdr:row>427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423</xdr:row>
      <xdr:rowOff>106770</xdr:rowOff>
    </xdr:from>
    <xdr:to>
      <xdr:col>6</xdr:col>
      <xdr:colOff>764247</xdr:colOff>
      <xdr:row>426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791004</xdr:colOff>
      <xdr:row>154</xdr:row>
      <xdr:rowOff>123045</xdr:rowOff>
    </xdr:from>
    <xdr:to>
      <xdr:col>9</xdr:col>
      <xdr:colOff>316402</xdr:colOff>
      <xdr:row>154</xdr:row>
      <xdr:rowOff>153806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3481DE20-9765-CF91-F8F7-4CC418CC3D8F}"/>
            </a:ext>
          </a:extLst>
        </xdr:cNvPr>
        <xdr:cNvCxnSpPr/>
      </xdr:nvCxnSpPr>
      <xdr:spPr>
        <a:xfrm flipV="1">
          <a:off x="14319592768" y="31723633"/>
          <a:ext cx="6521384" cy="3076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487785</xdr:colOff>
      <xdr:row>154</xdr:row>
      <xdr:rowOff>96678</xdr:rowOff>
    </xdr:from>
    <xdr:to>
      <xdr:col>8</xdr:col>
      <xdr:colOff>571281</xdr:colOff>
      <xdr:row>155</xdr:row>
      <xdr:rowOff>171384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072CF430-992A-69A4-5D86-3E417ACC93B6}"/>
            </a:ext>
          </a:extLst>
        </xdr:cNvPr>
        <xdr:cNvSpPr/>
      </xdr:nvSpPr>
      <xdr:spPr>
        <a:xfrm rot="16200000">
          <a:off x="14320990207" y="30919446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602041</xdr:colOff>
      <xdr:row>154</xdr:row>
      <xdr:rowOff>83495</xdr:rowOff>
    </xdr:from>
    <xdr:to>
      <xdr:col>5</xdr:col>
      <xdr:colOff>685537</xdr:colOff>
      <xdr:row>155</xdr:row>
      <xdr:rowOff>158201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CFE55A4E-AB04-9B39-FCBC-E1782F01D420}"/>
            </a:ext>
          </a:extLst>
        </xdr:cNvPr>
        <xdr:cNvSpPr/>
      </xdr:nvSpPr>
      <xdr:spPr>
        <a:xfrm rot="16200000">
          <a:off x="14323499446" y="30906263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650381</xdr:colOff>
      <xdr:row>156</xdr:row>
      <xdr:rowOff>123045</xdr:rowOff>
    </xdr:from>
    <xdr:to>
      <xdr:col>4</xdr:col>
      <xdr:colOff>654775</xdr:colOff>
      <xdr:row>160</xdr:row>
      <xdr:rowOff>35156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FDA88EAC-EB2F-4483-CD68-DB3F656F85C9}"/>
            </a:ext>
          </a:extLst>
        </xdr:cNvPr>
        <xdr:cNvCxnSpPr/>
      </xdr:nvCxnSpPr>
      <xdr:spPr>
        <a:xfrm flipH="1">
          <a:off x="14323626886" y="32127924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659170</xdr:colOff>
      <xdr:row>160</xdr:row>
      <xdr:rowOff>30761</xdr:rowOff>
    </xdr:from>
    <xdr:to>
      <xdr:col>6</xdr:col>
      <xdr:colOff>61522</xdr:colOff>
      <xdr:row>160</xdr:row>
      <xdr:rowOff>35156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74CC180-DC1B-B522-7964-42C8A0CC3FDD}"/>
            </a:ext>
          </a:extLst>
        </xdr:cNvPr>
        <xdr:cNvCxnSpPr/>
      </xdr:nvCxnSpPr>
      <xdr:spPr>
        <a:xfrm flipH="1">
          <a:off x="14322471142" y="32844221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52733</xdr:colOff>
      <xdr:row>155</xdr:row>
      <xdr:rowOff>114256</xdr:rowOff>
    </xdr:from>
    <xdr:to>
      <xdr:col>6</xdr:col>
      <xdr:colOff>57128</xdr:colOff>
      <xdr:row>160</xdr:row>
      <xdr:rowOff>30761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FCF40D2-C164-9A98-1EF6-F3A03453CA83}"/>
            </a:ext>
          </a:extLst>
        </xdr:cNvPr>
        <xdr:cNvCxnSpPr/>
      </xdr:nvCxnSpPr>
      <xdr:spPr>
        <a:xfrm flipH="1" flipV="1">
          <a:off x="14322475536" y="31916990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518547</xdr:colOff>
      <xdr:row>156</xdr:row>
      <xdr:rowOff>188962</xdr:rowOff>
    </xdr:from>
    <xdr:to>
      <xdr:col>7</xdr:col>
      <xdr:colOff>522941</xdr:colOff>
      <xdr:row>160</xdr:row>
      <xdr:rowOff>101073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70E4E69-D4EC-B9C2-19E2-B29C996299F6}"/>
            </a:ext>
          </a:extLst>
        </xdr:cNvPr>
        <xdr:cNvCxnSpPr/>
      </xdr:nvCxnSpPr>
      <xdr:spPr>
        <a:xfrm flipH="1">
          <a:off x="14321135225" y="32193841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250484</xdr:colOff>
      <xdr:row>160</xdr:row>
      <xdr:rowOff>79100</xdr:rowOff>
    </xdr:from>
    <xdr:to>
      <xdr:col>7</xdr:col>
      <xdr:colOff>527335</xdr:colOff>
      <xdr:row>160</xdr:row>
      <xdr:rowOff>83495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D8B46E5-934C-A168-D899-820D57E81A61}"/>
            </a:ext>
          </a:extLst>
        </xdr:cNvPr>
        <xdr:cNvCxnSpPr/>
      </xdr:nvCxnSpPr>
      <xdr:spPr>
        <a:xfrm flipH="1">
          <a:off x="14321130831" y="32892560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259273</xdr:colOff>
      <xdr:row>155</xdr:row>
      <xdr:rowOff>149412</xdr:rowOff>
    </xdr:from>
    <xdr:to>
      <xdr:col>6</xdr:col>
      <xdr:colOff>263668</xdr:colOff>
      <xdr:row>160</xdr:row>
      <xdr:rowOff>65917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4B32B8-C97E-BF91-FEFD-93126325D68E}"/>
            </a:ext>
          </a:extLst>
        </xdr:cNvPr>
        <xdr:cNvCxnSpPr/>
      </xdr:nvCxnSpPr>
      <xdr:spPr>
        <a:xfrm flipH="1" flipV="1">
          <a:off x="14322268996" y="31952146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112</xdr:row>
      <xdr:rowOff>97205</xdr:rowOff>
    </xdr:from>
    <xdr:to>
      <xdr:col>6</xdr:col>
      <xdr:colOff>424808</xdr:colOff>
      <xdr:row>113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115</xdr:row>
      <xdr:rowOff>30976</xdr:rowOff>
    </xdr:from>
    <xdr:to>
      <xdr:col>6</xdr:col>
      <xdr:colOff>433658</xdr:colOff>
      <xdr:row>115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115</xdr:row>
      <xdr:rowOff>30976</xdr:rowOff>
    </xdr:from>
    <xdr:to>
      <xdr:col>5</xdr:col>
      <xdr:colOff>345157</xdr:colOff>
      <xdr:row>115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115</xdr:row>
      <xdr:rowOff>39826</xdr:rowOff>
    </xdr:from>
    <xdr:to>
      <xdr:col>4</xdr:col>
      <xdr:colOff>234530</xdr:colOff>
      <xdr:row>115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115</xdr:row>
      <xdr:rowOff>53101</xdr:rowOff>
    </xdr:from>
    <xdr:to>
      <xdr:col>3</xdr:col>
      <xdr:colOff>172578</xdr:colOff>
      <xdr:row>115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125</xdr:row>
      <xdr:rowOff>197343</xdr:rowOff>
    </xdr:from>
    <xdr:to>
      <xdr:col>4</xdr:col>
      <xdr:colOff>203709</xdr:colOff>
      <xdr:row>127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125</xdr:row>
      <xdr:rowOff>181428</xdr:rowOff>
    </xdr:from>
    <xdr:to>
      <xdr:col>4</xdr:col>
      <xdr:colOff>31829</xdr:colOff>
      <xdr:row>127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125</xdr:row>
      <xdr:rowOff>171879</xdr:rowOff>
    </xdr:from>
    <xdr:to>
      <xdr:col>3</xdr:col>
      <xdr:colOff>636591</xdr:colOff>
      <xdr:row>127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125</xdr:row>
      <xdr:rowOff>95489</xdr:rowOff>
    </xdr:from>
    <xdr:to>
      <xdr:col>7</xdr:col>
      <xdr:colOff>760726</xdr:colOff>
      <xdr:row>127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125</xdr:row>
      <xdr:rowOff>111404</xdr:rowOff>
    </xdr:from>
    <xdr:to>
      <xdr:col>7</xdr:col>
      <xdr:colOff>241904</xdr:colOff>
      <xdr:row>126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125</xdr:row>
      <xdr:rowOff>95489</xdr:rowOff>
    </xdr:from>
    <xdr:to>
      <xdr:col>7</xdr:col>
      <xdr:colOff>44561</xdr:colOff>
      <xdr:row>126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125</xdr:row>
      <xdr:rowOff>105038</xdr:rowOff>
    </xdr:from>
    <xdr:to>
      <xdr:col>6</xdr:col>
      <xdr:colOff>655689</xdr:colOff>
      <xdr:row>126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127</xdr:row>
      <xdr:rowOff>60476</xdr:rowOff>
    </xdr:from>
    <xdr:to>
      <xdr:col>7</xdr:col>
      <xdr:colOff>57293</xdr:colOff>
      <xdr:row>128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129</xdr:row>
      <xdr:rowOff>184612</xdr:rowOff>
    </xdr:from>
    <xdr:to>
      <xdr:col>7</xdr:col>
      <xdr:colOff>649323</xdr:colOff>
      <xdr:row>130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175062</xdr:colOff>
      <xdr:row>183</xdr:row>
      <xdr:rowOff>28647</xdr:rowOff>
    </xdr:from>
    <xdr:to>
      <xdr:col>4</xdr:col>
      <xdr:colOff>416967</xdr:colOff>
      <xdr:row>184</xdr:row>
      <xdr:rowOff>31830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C26A441-25C4-F8F7-6804-60F954A88607}"/>
            </a:ext>
          </a:extLst>
        </xdr:cNvPr>
        <xdr:cNvCxnSpPr/>
      </xdr:nvCxnSpPr>
      <xdr:spPr>
        <a:xfrm flipH="1">
          <a:off x="13503025138" y="32138321"/>
          <a:ext cx="241905" cy="2068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90</xdr:row>
      <xdr:rowOff>175054</xdr:rowOff>
    </xdr:from>
    <xdr:to>
      <xdr:col>7</xdr:col>
      <xdr:colOff>120134</xdr:colOff>
      <xdr:row>91</xdr:row>
      <xdr:rowOff>164757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CBDE1D46-3B94-257F-0575-BA2C76ACCEF1}"/>
            </a:ext>
          </a:extLst>
        </xdr:cNvPr>
        <xdr:cNvCxnSpPr/>
      </xdr:nvCxnSpPr>
      <xdr:spPr>
        <a:xfrm flipH="1">
          <a:off x="13547199838" y="18483649"/>
          <a:ext cx="209378" cy="1922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90</xdr:row>
      <xdr:rowOff>185351</xdr:rowOff>
    </xdr:from>
    <xdr:to>
      <xdr:col>6</xdr:col>
      <xdr:colOff>490838</xdr:colOff>
      <xdr:row>92</xdr:row>
      <xdr:rowOff>41189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B7D01CA-6ACD-82EA-19CB-E9F4B1B61086}"/>
            </a:ext>
          </a:extLst>
        </xdr:cNvPr>
        <xdr:cNvCxnSpPr/>
      </xdr:nvCxnSpPr>
      <xdr:spPr>
        <a:xfrm flipH="1">
          <a:off x="13547656351" y="18493946"/>
          <a:ext cx="27460" cy="2608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90</xdr:row>
      <xdr:rowOff>175053</xdr:rowOff>
    </xdr:from>
    <xdr:to>
      <xdr:col>6</xdr:col>
      <xdr:colOff>312351</xdr:colOff>
      <xdr:row>92</xdr:row>
      <xdr:rowOff>20594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9A3D208-EF52-79B4-08ED-2F3DC8FB1EF9}"/>
            </a:ext>
          </a:extLst>
        </xdr:cNvPr>
        <xdr:cNvCxnSpPr/>
      </xdr:nvCxnSpPr>
      <xdr:spPr>
        <a:xfrm>
          <a:off x="13547834838" y="18483648"/>
          <a:ext cx="487405" cy="2505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259</xdr:row>
      <xdr:rowOff>126398</xdr:rowOff>
    </xdr:from>
    <xdr:to>
      <xdr:col>3</xdr:col>
      <xdr:colOff>722275</xdr:colOff>
      <xdr:row>261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262</xdr:row>
      <xdr:rowOff>6020</xdr:rowOff>
    </xdr:from>
    <xdr:to>
      <xdr:col>6</xdr:col>
      <xdr:colOff>192607</xdr:colOff>
      <xdr:row>263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352</xdr:row>
      <xdr:rowOff>91807</xdr:rowOff>
    </xdr:from>
    <xdr:to>
      <xdr:col>6</xdr:col>
      <xdr:colOff>10201</xdr:colOff>
      <xdr:row>352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331</xdr:row>
      <xdr:rowOff>186954</xdr:rowOff>
    </xdr:from>
    <xdr:to>
      <xdr:col>9</xdr:col>
      <xdr:colOff>39518</xdr:colOff>
      <xdr:row>336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372</xdr:row>
      <xdr:rowOff>61851</xdr:rowOff>
    </xdr:from>
    <xdr:to>
      <xdr:col>6</xdr:col>
      <xdr:colOff>655616</xdr:colOff>
      <xdr:row>372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490</xdr:row>
      <xdr:rowOff>86895</xdr:rowOff>
    </xdr:from>
    <xdr:to>
      <xdr:col>7</xdr:col>
      <xdr:colOff>267368</xdr:colOff>
      <xdr:row>490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238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239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1</xdr:col>
      <xdr:colOff>288143</xdr:colOff>
      <xdr:row>181</xdr:row>
      <xdr:rowOff>63978</xdr:rowOff>
    </xdr:from>
    <xdr:to>
      <xdr:col>6</xdr:col>
      <xdr:colOff>486832</xdr:colOff>
      <xdr:row>191</xdr:row>
      <xdr:rowOff>109361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665057" y="35955589"/>
          <a:ext cx="4439078" cy="2091494"/>
        </a:xfrm>
        <a:prstGeom prst="rect">
          <a:avLst/>
        </a:prstGeom>
      </xdr:spPr>
    </xdr:pic>
    <xdr:clientData/>
  </xdr:twoCellAnchor>
  <xdr:twoCellAnchor>
    <xdr:from>
      <xdr:col>6</xdr:col>
      <xdr:colOff>690912</xdr:colOff>
      <xdr:row>204</xdr:row>
      <xdr:rowOff>15975</xdr:rowOff>
    </xdr:from>
    <xdr:to>
      <xdr:col>6</xdr:col>
      <xdr:colOff>842673</xdr:colOff>
      <xdr:row>204</xdr:row>
      <xdr:rowOff>187705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4FA197BD-928A-6D5C-9557-D2E4E2656F5E}"/>
            </a:ext>
          </a:extLst>
        </xdr:cNvPr>
        <xdr:cNvSpPr/>
      </xdr:nvSpPr>
      <xdr:spPr>
        <a:xfrm>
          <a:off x="13538930849" y="37720598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204</xdr:row>
      <xdr:rowOff>23962</xdr:rowOff>
    </xdr:from>
    <xdr:to>
      <xdr:col>3</xdr:col>
      <xdr:colOff>810723</xdr:colOff>
      <xdr:row>204</xdr:row>
      <xdr:rowOff>195692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EB623565-A0E2-C249-5664-E6811BA35650}"/>
            </a:ext>
          </a:extLst>
        </xdr:cNvPr>
        <xdr:cNvSpPr/>
      </xdr:nvSpPr>
      <xdr:spPr>
        <a:xfrm>
          <a:off x="13541442893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204</xdr:row>
      <xdr:rowOff>23962</xdr:rowOff>
    </xdr:from>
    <xdr:to>
      <xdr:col>5</xdr:col>
      <xdr:colOff>15974</xdr:colOff>
      <xdr:row>204</xdr:row>
      <xdr:rowOff>195692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89A55352-F466-59CD-625A-A6D5CA20921A}"/>
            </a:ext>
          </a:extLst>
        </xdr:cNvPr>
        <xdr:cNvSpPr/>
      </xdr:nvSpPr>
      <xdr:spPr>
        <a:xfrm>
          <a:off x="13540584246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204</xdr:row>
      <xdr:rowOff>19967</xdr:rowOff>
    </xdr:from>
    <xdr:to>
      <xdr:col>6</xdr:col>
      <xdr:colOff>47924</xdr:colOff>
      <xdr:row>204</xdr:row>
      <xdr:rowOff>191697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FF0CF31-6497-976D-0459-F5119A1846A7}"/>
            </a:ext>
          </a:extLst>
        </xdr:cNvPr>
        <xdr:cNvSpPr/>
      </xdr:nvSpPr>
      <xdr:spPr>
        <a:xfrm>
          <a:off x="13539725598" y="37724590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13368</xdr:colOff>
      <xdr:row>242</xdr:row>
      <xdr:rowOff>200526</xdr:rowOff>
    </xdr:from>
    <xdr:to>
      <xdr:col>5</xdr:col>
      <xdr:colOff>222807</xdr:colOff>
      <xdr:row>243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245</xdr:row>
      <xdr:rowOff>173790</xdr:rowOff>
    </xdr:from>
    <xdr:to>
      <xdr:col>5</xdr:col>
      <xdr:colOff>71298</xdr:colOff>
      <xdr:row>258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242</xdr:row>
      <xdr:rowOff>200526</xdr:rowOff>
    </xdr:from>
    <xdr:to>
      <xdr:col>4</xdr:col>
      <xdr:colOff>191614</xdr:colOff>
      <xdr:row>243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241</xdr:row>
      <xdr:rowOff>17825</xdr:rowOff>
    </xdr:from>
    <xdr:to>
      <xdr:col>2</xdr:col>
      <xdr:colOff>797649</xdr:colOff>
      <xdr:row>246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240</xdr:row>
      <xdr:rowOff>187158</xdr:rowOff>
    </xdr:from>
    <xdr:to>
      <xdr:col>4</xdr:col>
      <xdr:colOff>98035</xdr:colOff>
      <xdr:row>246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242</xdr:row>
      <xdr:rowOff>4455</xdr:rowOff>
    </xdr:from>
    <xdr:to>
      <xdr:col>3</xdr:col>
      <xdr:colOff>245088</xdr:colOff>
      <xdr:row>242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617364</xdr:colOff>
      <xdr:row>146</xdr:row>
      <xdr:rowOff>88194</xdr:rowOff>
    </xdr:from>
    <xdr:to>
      <xdr:col>4</xdr:col>
      <xdr:colOff>24697</xdr:colOff>
      <xdr:row>146</xdr:row>
      <xdr:rowOff>95250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D289F5AE-6FBE-EABA-40A9-36B44E054E73}"/>
            </a:ext>
          </a:extLst>
        </xdr:cNvPr>
        <xdr:cNvCxnSpPr/>
      </xdr:nvCxnSpPr>
      <xdr:spPr>
        <a:xfrm flipV="1">
          <a:off x="13521802887" y="30003750"/>
          <a:ext cx="296333" cy="7056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606779</xdr:colOff>
      <xdr:row>146</xdr:row>
      <xdr:rowOff>88194</xdr:rowOff>
    </xdr:from>
    <xdr:to>
      <xdr:col>3</xdr:col>
      <xdr:colOff>627946</xdr:colOff>
      <xdr:row>153</xdr:row>
      <xdr:rowOff>105833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C4E2BD4-8F4A-93DE-089B-1E057E6EDB83}"/>
            </a:ext>
          </a:extLst>
        </xdr:cNvPr>
        <xdr:cNvCxnSpPr/>
      </xdr:nvCxnSpPr>
      <xdr:spPr>
        <a:xfrm>
          <a:off x="13522088638" y="30003750"/>
          <a:ext cx="21167" cy="147108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613834</xdr:colOff>
      <xdr:row>153</xdr:row>
      <xdr:rowOff>98778</xdr:rowOff>
    </xdr:from>
    <xdr:to>
      <xdr:col>4</xdr:col>
      <xdr:colOff>21167</xdr:colOff>
      <xdr:row>153</xdr:row>
      <xdr:rowOff>105834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E53529D-F1AD-01DF-B7EC-74719CA67E1D}"/>
            </a:ext>
          </a:extLst>
        </xdr:cNvPr>
        <xdr:cNvCxnSpPr/>
      </xdr:nvCxnSpPr>
      <xdr:spPr>
        <a:xfrm flipV="1">
          <a:off x="13521806417" y="31467778"/>
          <a:ext cx="296333" cy="70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843139</xdr:colOff>
      <xdr:row>415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417</xdr:row>
      <xdr:rowOff>112889</xdr:rowOff>
    </xdr:from>
    <xdr:to>
      <xdr:col>8</xdr:col>
      <xdr:colOff>3529</xdr:colOff>
      <xdr:row>418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418</xdr:row>
      <xdr:rowOff>21167</xdr:rowOff>
    </xdr:from>
    <xdr:to>
      <xdr:col>6</xdr:col>
      <xdr:colOff>560917</xdr:colOff>
      <xdr:row>422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418</xdr:row>
      <xdr:rowOff>74083</xdr:rowOff>
    </xdr:from>
    <xdr:to>
      <xdr:col>5</xdr:col>
      <xdr:colOff>158751</xdr:colOff>
      <xdr:row>422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417</xdr:row>
      <xdr:rowOff>26458</xdr:rowOff>
    </xdr:from>
    <xdr:to>
      <xdr:col>5</xdr:col>
      <xdr:colOff>213429</xdr:colOff>
      <xdr:row>417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3030</v>
      </c>
    </row>
    <row r="3" spans="1:7" ht="21" x14ac:dyDescent="0.25">
      <c r="A3" s="43" t="s">
        <v>3031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2541</v>
      </c>
      <c r="E7" s="43" t="s">
        <v>2540</v>
      </c>
      <c r="F7" s="43" t="s">
        <v>2542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2543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503" t="s">
        <v>11</v>
      </c>
      <c r="C14" s="503" t="s">
        <v>12</v>
      </c>
      <c r="D14" s="503"/>
      <c r="E14" s="503"/>
      <c r="F14" s="503"/>
      <c r="G14" s="591"/>
    </row>
    <row r="15" spans="1:7" x14ac:dyDescent="0.2">
      <c r="A15" s="352">
        <v>45354</v>
      </c>
      <c r="B15" s="580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28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52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52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28"/>
      <c r="B58" s="219"/>
      <c r="C58" s="219"/>
      <c r="D58" s="219"/>
      <c r="E58" s="219"/>
      <c r="F58" s="219"/>
      <c r="G58" s="219"/>
    </row>
    <row r="59" spans="1:7" ht="16" thickBot="1" x14ac:dyDescent="0.25">
      <c r="A59" s="528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04" t="s">
        <v>2967</v>
      </c>
      <c r="B1" s="704"/>
      <c r="C1" s="704"/>
      <c r="D1" s="704"/>
      <c r="E1" s="704"/>
      <c r="F1" s="704"/>
      <c r="G1" s="704"/>
      <c r="H1" s="704"/>
    </row>
    <row r="3" spans="1:8" ht="16" thickBot="1" x14ac:dyDescent="0.25">
      <c r="A3" s="179" t="s">
        <v>1783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1784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1785</v>
      </c>
      <c r="H5" s="217"/>
    </row>
    <row r="6" spans="1:8" x14ac:dyDescent="0.2">
      <c r="A6" s="323" t="s">
        <v>1786</v>
      </c>
      <c r="H6" s="217"/>
    </row>
    <row r="7" spans="1:8" x14ac:dyDescent="0.2">
      <c r="A7" s="323"/>
      <c r="H7" s="217"/>
    </row>
    <row r="8" spans="1:8" x14ac:dyDescent="0.2">
      <c r="A8" s="323" t="s">
        <v>1787</v>
      </c>
      <c r="H8" s="217"/>
    </row>
    <row r="9" spans="1:8" x14ac:dyDescent="0.2">
      <c r="A9" s="323" t="s">
        <v>1788</v>
      </c>
      <c r="H9" s="217"/>
    </row>
    <row r="10" spans="1:8" x14ac:dyDescent="0.2">
      <c r="A10" s="323"/>
      <c r="H10" s="217"/>
    </row>
    <row r="11" spans="1:8" x14ac:dyDescent="0.2">
      <c r="A11" s="323" t="s">
        <v>1789</v>
      </c>
      <c r="B11" s="222" t="s">
        <v>3029</v>
      </c>
      <c r="H11" s="217"/>
    </row>
    <row r="12" spans="1:8" x14ac:dyDescent="0.2">
      <c r="A12" s="323"/>
      <c r="H12" s="217"/>
    </row>
    <row r="13" spans="1:8" x14ac:dyDescent="0.2">
      <c r="A13" s="323" t="s">
        <v>1790</v>
      </c>
      <c r="H13" s="217"/>
    </row>
    <row r="14" spans="1:8" ht="16" thickBot="1" x14ac:dyDescent="0.25">
      <c r="A14" s="236" t="s">
        <v>1791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1792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1793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1794</v>
      </c>
    </row>
    <row r="20" spans="1:8" x14ac:dyDescent="0.2">
      <c r="A20" s="43" t="s">
        <v>1795</v>
      </c>
    </row>
    <row r="22" spans="1:8" x14ac:dyDescent="0.2">
      <c r="A22" s="43" t="s">
        <v>65</v>
      </c>
    </row>
    <row r="23" spans="1:8" x14ac:dyDescent="0.2">
      <c r="A23" s="47" t="s">
        <v>1796</v>
      </c>
      <c r="B23" s="43" t="s">
        <v>1797</v>
      </c>
    </row>
    <row r="24" spans="1:8" x14ac:dyDescent="0.2">
      <c r="A24" s="47" t="s">
        <v>1798</v>
      </c>
      <c r="B24" s="43" t="s">
        <v>1799</v>
      </c>
    </row>
    <row r="25" spans="1:8" x14ac:dyDescent="0.2">
      <c r="A25" s="202" t="s">
        <v>1800</v>
      </c>
      <c r="B25" s="43" t="s">
        <v>1801</v>
      </c>
    </row>
    <row r="27" spans="1:8" ht="18" x14ac:dyDescent="0.2">
      <c r="A27" s="675" t="s">
        <v>1802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2968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2969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1803</v>
      </c>
    </row>
    <row r="32" spans="1:8" x14ac:dyDescent="0.2">
      <c r="B32" s="59" t="s">
        <v>1179</v>
      </c>
      <c r="C32" s="59" t="s">
        <v>1804</v>
      </c>
    </row>
    <row r="33" spans="1:6" x14ac:dyDescent="0.2">
      <c r="A33" s="43" t="s">
        <v>2974</v>
      </c>
      <c r="B33" s="43" t="s">
        <v>1805</v>
      </c>
      <c r="C33" s="43">
        <v>100</v>
      </c>
      <c r="E33" s="201"/>
    </row>
    <row r="34" spans="1:6" x14ac:dyDescent="0.2">
      <c r="A34" s="43" t="s">
        <v>2970</v>
      </c>
      <c r="B34" s="43" t="s">
        <v>1806</v>
      </c>
      <c r="C34" s="43">
        <v>120</v>
      </c>
    </row>
    <row r="35" spans="1:6" x14ac:dyDescent="0.2">
      <c r="A35" s="43" t="s">
        <v>2971</v>
      </c>
      <c r="B35" s="43" t="s">
        <v>1807</v>
      </c>
      <c r="C35" s="43">
        <v>110</v>
      </c>
    </row>
    <row r="36" spans="1:6" x14ac:dyDescent="0.2">
      <c r="A36" s="43" t="s">
        <v>2972</v>
      </c>
      <c r="B36" s="43" t="s">
        <v>1808</v>
      </c>
      <c r="C36" s="43">
        <v>121</v>
      </c>
    </row>
    <row r="37" spans="1:6" x14ac:dyDescent="0.2">
      <c r="A37" s="43" t="s">
        <v>2973</v>
      </c>
      <c r="B37" s="43" t="s">
        <v>1809</v>
      </c>
      <c r="C37" s="43">
        <v>121</v>
      </c>
    </row>
    <row r="39" spans="1:6" x14ac:dyDescent="0.2">
      <c r="A39" s="43" t="s">
        <v>1810</v>
      </c>
    </row>
    <row r="40" spans="1:6" x14ac:dyDescent="0.2">
      <c r="A40" s="43" t="s">
        <v>2976</v>
      </c>
    </row>
    <row r="42" spans="1:6" x14ac:dyDescent="0.2">
      <c r="A42" s="44" t="s">
        <v>1811</v>
      </c>
    </row>
    <row r="43" spans="1:6" x14ac:dyDescent="0.2">
      <c r="A43" s="43" t="s">
        <v>2975</v>
      </c>
    </row>
    <row r="44" spans="1:6" x14ac:dyDescent="0.2">
      <c r="A44" s="44"/>
    </row>
    <row r="45" spans="1:6" x14ac:dyDescent="0.2">
      <c r="A45" s="676"/>
    </row>
    <row r="46" spans="1:6" x14ac:dyDescent="0.2">
      <c r="A46" s="44"/>
    </row>
    <row r="47" spans="1:6" x14ac:dyDescent="0.2">
      <c r="B47" s="49" t="s">
        <v>1179</v>
      </c>
      <c r="C47" s="49" t="s">
        <v>1804</v>
      </c>
      <c r="D47" s="49" t="s">
        <v>1812</v>
      </c>
      <c r="F47" s="43" t="s">
        <v>1813</v>
      </c>
    </row>
    <row r="48" spans="1:6" x14ac:dyDescent="0.2">
      <c r="B48" s="47" t="s">
        <v>1805</v>
      </c>
      <c r="C48" s="47">
        <v>100</v>
      </c>
      <c r="D48" s="47"/>
      <c r="F48" s="43" t="s">
        <v>1814</v>
      </c>
    </row>
    <row r="49" spans="1:8" x14ac:dyDescent="0.2">
      <c r="B49" s="47" t="s">
        <v>1806</v>
      </c>
      <c r="C49" s="47">
        <v>120</v>
      </c>
      <c r="D49" s="203">
        <f>C49/C48-1</f>
        <v>0.19999999999999996</v>
      </c>
      <c r="F49" s="43" t="s">
        <v>1815</v>
      </c>
    </row>
    <row r="50" spans="1:8" x14ac:dyDescent="0.2">
      <c r="B50" s="47" t="s">
        <v>1807</v>
      </c>
      <c r="C50" s="47">
        <v>110</v>
      </c>
      <c r="D50" s="203">
        <f>C50/C49-1</f>
        <v>-8.333333333333337E-2</v>
      </c>
      <c r="F50" s="43" t="s">
        <v>1816</v>
      </c>
    </row>
    <row r="51" spans="1:8" x14ac:dyDescent="0.2">
      <c r="B51" s="47" t="s">
        <v>1808</v>
      </c>
      <c r="C51" s="47">
        <v>121</v>
      </c>
      <c r="D51" s="203">
        <f>C51/C50-1</f>
        <v>0.10000000000000009</v>
      </c>
      <c r="F51" s="43" t="s">
        <v>1817</v>
      </c>
    </row>
    <row r="52" spans="1:8" x14ac:dyDescent="0.2">
      <c r="B52" s="47" t="s">
        <v>1809</v>
      </c>
      <c r="C52" s="47">
        <v>121</v>
      </c>
      <c r="D52" s="203">
        <f>C52/C51-1</f>
        <v>0</v>
      </c>
      <c r="F52" s="43" t="s">
        <v>1818</v>
      </c>
    </row>
    <row r="54" spans="1:8" x14ac:dyDescent="0.2">
      <c r="A54" s="44" t="s">
        <v>1819</v>
      </c>
    </row>
    <row r="55" spans="1:8" x14ac:dyDescent="0.2">
      <c r="A55" s="44"/>
      <c r="D55" s="47" t="s">
        <v>1812</v>
      </c>
      <c r="E55" s="47" t="s">
        <v>1812</v>
      </c>
    </row>
    <row r="56" spans="1:8" x14ac:dyDescent="0.2">
      <c r="A56" s="44"/>
      <c r="B56" s="49" t="s">
        <v>1179</v>
      </c>
      <c r="C56" s="49" t="s">
        <v>1804</v>
      </c>
      <c r="D56" s="49" t="s">
        <v>1820</v>
      </c>
      <c r="E56" s="49" t="s">
        <v>2978</v>
      </c>
    </row>
    <row r="57" spans="1:8" x14ac:dyDescent="0.2">
      <c r="A57" s="44"/>
      <c r="B57" s="47" t="s">
        <v>1805</v>
      </c>
      <c r="C57" s="47">
        <v>100</v>
      </c>
      <c r="D57" s="204"/>
      <c r="E57" s="204"/>
      <c r="H57" s="43" t="s">
        <v>2979</v>
      </c>
    </row>
    <row r="58" spans="1:8" x14ac:dyDescent="0.2">
      <c r="A58" s="44"/>
      <c r="B58" s="47" t="s">
        <v>1806</v>
      </c>
      <c r="C58" s="47">
        <v>120</v>
      </c>
      <c r="D58" s="152">
        <f>C58/C57-1</f>
        <v>0.19999999999999996</v>
      </c>
      <c r="E58" s="536">
        <f>D58+1</f>
        <v>1.2</v>
      </c>
    </row>
    <row r="59" spans="1:8" x14ac:dyDescent="0.2">
      <c r="A59" s="44"/>
      <c r="B59" s="47" t="s">
        <v>1807</v>
      </c>
      <c r="C59" s="47">
        <v>110</v>
      </c>
      <c r="D59" s="152">
        <f>C59/C58-1</f>
        <v>-8.333333333333337E-2</v>
      </c>
      <c r="E59" s="536">
        <f>D59+1</f>
        <v>0.91666666666666663</v>
      </c>
    </row>
    <row r="60" spans="1:8" x14ac:dyDescent="0.2">
      <c r="A60" s="44"/>
      <c r="B60" s="47" t="s">
        <v>1808</v>
      </c>
      <c r="C60" s="47">
        <v>121</v>
      </c>
      <c r="D60" s="152">
        <f>C60/C59-1</f>
        <v>0.10000000000000009</v>
      </c>
      <c r="E60" s="536">
        <f t="shared" ref="E60:E61" si="0">D60+1</f>
        <v>1.1000000000000001</v>
      </c>
      <c r="G60" s="43" t="s">
        <v>1821</v>
      </c>
    </row>
    <row r="61" spans="1:8" x14ac:dyDescent="0.2">
      <c r="B61" s="47" t="s">
        <v>1809</v>
      </c>
      <c r="C61" s="47">
        <v>121</v>
      </c>
      <c r="D61" s="152">
        <f>C61/C60-1</f>
        <v>0</v>
      </c>
      <c r="E61" s="536">
        <f t="shared" si="0"/>
        <v>1</v>
      </c>
      <c r="G61" s="537">
        <f>PRODUCT(E58:E61)-1</f>
        <v>0.20999999999999996</v>
      </c>
    </row>
    <row r="63" spans="1:8" x14ac:dyDescent="0.2">
      <c r="A63" s="43" t="s">
        <v>1822</v>
      </c>
    </row>
    <row r="64" spans="1:8" x14ac:dyDescent="0.2">
      <c r="A64" s="43" t="s">
        <v>1823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2977</v>
      </c>
    </row>
    <row r="67" spans="1:8" x14ac:dyDescent="0.2">
      <c r="A67" s="43" t="s">
        <v>1824</v>
      </c>
    </row>
    <row r="68" spans="1:8" x14ac:dyDescent="0.2">
      <c r="A68" s="43" t="s">
        <v>1825</v>
      </c>
    </row>
    <row r="69" spans="1:8" x14ac:dyDescent="0.2">
      <c r="C69" s="206">
        <f>C61/C57-1</f>
        <v>0.20999999999999996</v>
      </c>
      <c r="F69" s="43" t="s">
        <v>1826</v>
      </c>
    </row>
    <row r="71" spans="1:8" x14ac:dyDescent="0.2">
      <c r="A71" s="180" t="s">
        <v>1827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1828</v>
      </c>
    </row>
    <row r="73" spans="1:8" x14ac:dyDescent="0.2">
      <c r="A73" s="43" t="s">
        <v>1829</v>
      </c>
    </row>
    <row r="74" spans="1:8" x14ac:dyDescent="0.2">
      <c r="A74" s="43" t="s">
        <v>1830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2980</v>
      </c>
    </row>
    <row r="78" spans="1:8" x14ac:dyDescent="0.2">
      <c r="A78" s="44"/>
    </row>
    <row r="79" spans="1:8" x14ac:dyDescent="0.2">
      <c r="A79" s="44" t="s">
        <v>2981</v>
      </c>
    </row>
    <row r="80" spans="1:8" x14ac:dyDescent="0.2">
      <c r="A80" s="44" t="s">
        <v>2982</v>
      </c>
    </row>
    <row r="81" spans="1:8" x14ac:dyDescent="0.2">
      <c r="A81" s="44"/>
    </row>
    <row r="82" spans="1:8" x14ac:dyDescent="0.2">
      <c r="A82" s="43" t="s">
        <v>2983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77">
        <f>105.7/103.1-1</f>
        <v>2.5218234723569433E-2</v>
      </c>
    </row>
    <row r="86" spans="1:8" x14ac:dyDescent="0.2">
      <c r="A86" s="44"/>
    </row>
    <row r="87" spans="1:8" x14ac:dyDescent="0.2">
      <c r="A87" s="43" t="s">
        <v>2984</v>
      </c>
    </row>
    <row r="88" spans="1:8" x14ac:dyDescent="0.2">
      <c r="A88" s="44"/>
      <c r="D88" s="43" t="s">
        <v>2986</v>
      </c>
      <c r="F88" s="43" t="s">
        <v>2985</v>
      </c>
    </row>
    <row r="89" spans="1:8" x14ac:dyDescent="0.2">
      <c r="A89" s="44"/>
    </row>
    <row r="90" spans="1:8" x14ac:dyDescent="0.2">
      <c r="A90" s="43" t="s">
        <v>2987</v>
      </c>
    </row>
    <row r="91" spans="1:8" x14ac:dyDescent="0.2">
      <c r="A91" s="44"/>
      <c r="D91" s="678">
        <f>105000*(1+D85)</f>
        <v>107647.91464597479</v>
      </c>
      <c r="F91" s="43" t="s">
        <v>2988</v>
      </c>
    </row>
    <row r="92" spans="1:8" x14ac:dyDescent="0.2">
      <c r="A92" s="44"/>
    </row>
    <row r="93" spans="1:8" x14ac:dyDescent="0.2">
      <c r="A93" s="44" t="s">
        <v>2989</v>
      </c>
    </row>
    <row r="94" spans="1:8" s="291" customFormat="1" x14ac:dyDescent="0.2">
      <c r="A94" s="539"/>
      <c r="B94" s="538"/>
      <c r="C94" s="538"/>
      <c r="D94" s="679">
        <f>D91</f>
        <v>107647.91464597479</v>
      </c>
      <c r="E94" s="538"/>
      <c r="F94" s="538"/>
      <c r="G94" s="538"/>
    </row>
    <row r="95" spans="1:8" x14ac:dyDescent="0.2">
      <c r="A95" s="450" t="s">
        <v>1831</v>
      </c>
      <c r="B95" s="450"/>
      <c r="C95" s="450"/>
      <c r="D95" s="450"/>
      <c r="E95" s="450"/>
      <c r="F95" s="450"/>
      <c r="G95" s="450"/>
      <c r="H95" s="450"/>
    </row>
    <row r="96" spans="1:8" x14ac:dyDescent="0.2">
      <c r="A96" s="538" t="s">
        <v>2990</v>
      </c>
      <c r="B96" s="680"/>
      <c r="C96" s="680"/>
      <c r="D96" s="680"/>
      <c r="E96" s="680"/>
      <c r="F96" s="680"/>
      <c r="G96" s="450"/>
      <c r="H96" s="450"/>
    </row>
    <row r="97" spans="1:8" x14ac:dyDescent="0.2">
      <c r="A97" s="538" t="s">
        <v>2991</v>
      </c>
      <c r="B97" s="680"/>
      <c r="C97" s="680"/>
      <c r="D97" s="680"/>
      <c r="E97" s="680"/>
      <c r="F97" s="680"/>
      <c r="G97" s="450"/>
      <c r="H97" s="450"/>
    </row>
    <row r="98" spans="1:8" x14ac:dyDescent="0.2">
      <c r="A98" s="291"/>
      <c r="B98" s="450"/>
      <c r="C98" s="450"/>
      <c r="D98" s="450"/>
      <c r="E98" s="450"/>
      <c r="F98" s="450"/>
      <c r="G98" s="450"/>
      <c r="H98" s="450"/>
    </row>
    <row r="100" spans="1:8" ht="18" x14ac:dyDescent="0.2">
      <c r="A100" s="675" t="s">
        <v>1832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2992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2993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2994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1833</v>
      </c>
    </row>
    <row r="105" spans="1:8" x14ac:dyDescent="0.2">
      <c r="A105" s="43" t="s">
        <v>1834</v>
      </c>
    </row>
    <row r="106" spans="1:8" x14ac:dyDescent="0.2">
      <c r="A106" s="43" t="s">
        <v>1835</v>
      </c>
    </row>
    <row r="108" spans="1:8" x14ac:dyDescent="0.2">
      <c r="A108" s="43" t="s">
        <v>326</v>
      </c>
    </row>
    <row r="109" spans="1:8" x14ac:dyDescent="0.2">
      <c r="A109" s="43" t="s">
        <v>2997</v>
      </c>
    </row>
    <row r="111" spans="1:8" x14ac:dyDescent="0.2">
      <c r="A111" s="43" t="s">
        <v>111</v>
      </c>
    </row>
    <row r="112" spans="1:8" x14ac:dyDescent="0.2">
      <c r="A112" s="43" t="s">
        <v>1836</v>
      </c>
    </row>
    <row r="113" spans="1:8" x14ac:dyDescent="0.2">
      <c r="A113" s="79" t="s">
        <v>1837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1838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1839</v>
      </c>
    </row>
    <row r="117" spans="1:8" x14ac:dyDescent="0.2">
      <c r="A117" s="43" t="s">
        <v>1840</v>
      </c>
    </row>
    <row r="119" spans="1:8" x14ac:dyDescent="0.2">
      <c r="A119" s="43" t="s">
        <v>1841</v>
      </c>
    </row>
    <row r="120" spans="1:8" x14ac:dyDescent="0.2">
      <c r="A120" s="44" t="s">
        <v>1842</v>
      </c>
      <c r="B120" s="44"/>
      <c r="C120" s="44"/>
      <c r="D120" s="44"/>
      <c r="E120" s="44"/>
    </row>
    <row r="130" spans="1:9" x14ac:dyDescent="0.2">
      <c r="A130" s="43" t="s">
        <v>2995</v>
      </c>
    </row>
    <row r="131" spans="1:9" x14ac:dyDescent="0.2">
      <c r="A131" s="43" t="s">
        <v>2996</v>
      </c>
    </row>
    <row r="133" spans="1:9" x14ac:dyDescent="0.2">
      <c r="A133" s="44" t="s">
        <v>1843</v>
      </c>
    </row>
    <row r="135" spans="1:9" x14ac:dyDescent="0.2">
      <c r="A135" s="44" t="s">
        <v>1844</v>
      </c>
    </row>
    <row r="136" spans="1:9" x14ac:dyDescent="0.2">
      <c r="A136" s="43" t="s">
        <v>1845</v>
      </c>
    </row>
    <row r="137" spans="1:9" x14ac:dyDescent="0.2">
      <c r="A137" s="43" t="s">
        <v>1846</v>
      </c>
    </row>
    <row r="139" spans="1:9" x14ac:dyDescent="0.2">
      <c r="A139" s="180" t="s">
        <v>1847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1848</v>
      </c>
    </row>
    <row r="141" spans="1:9" x14ac:dyDescent="0.2">
      <c r="A141" s="43" t="s">
        <v>1849</v>
      </c>
    </row>
    <row r="142" spans="1:9" x14ac:dyDescent="0.2">
      <c r="A142" s="43" t="s">
        <v>1850</v>
      </c>
    </row>
    <row r="143" spans="1:9" x14ac:dyDescent="0.2">
      <c r="A143" s="43" t="s">
        <v>1851</v>
      </c>
      <c r="I143"/>
    </row>
    <row r="144" spans="1:9" x14ac:dyDescent="0.2">
      <c r="I144"/>
    </row>
    <row r="145" spans="1:9" x14ac:dyDescent="0.2">
      <c r="A145" s="43" t="s">
        <v>1852</v>
      </c>
      <c r="I145"/>
    </row>
    <row r="146" spans="1:9" x14ac:dyDescent="0.2">
      <c r="A146" s="43" t="s">
        <v>1853</v>
      </c>
      <c r="H146" s="43" t="s">
        <v>2998</v>
      </c>
      <c r="I146"/>
    </row>
    <row r="147" spans="1:9" x14ac:dyDescent="0.2">
      <c r="A147" s="43" t="s">
        <v>1854</v>
      </c>
      <c r="I147"/>
    </row>
    <row r="148" spans="1:9" x14ac:dyDescent="0.2">
      <c r="E148" s="76">
        <f>10000*1.06*1.0283</f>
        <v>10899.98</v>
      </c>
      <c r="H148" s="43" t="s">
        <v>2999</v>
      </c>
      <c r="I148"/>
    </row>
    <row r="149" spans="1:9" x14ac:dyDescent="0.2">
      <c r="I149"/>
    </row>
    <row r="150" spans="1:9" x14ac:dyDescent="0.2">
      <c r="A150" s="43" t="s">
        <v>3000</v>
      </c>
      <c r="I150"/>
    </row>
    <row r="151" spans="1:9" x14ac:dyDescent="0.2">
      <c r="I151"/>
    </row>
    <row r="152" spans="1:9" x14ac:dyDescent="0.2">
      <c r="A152" s="180" t="s">
        <v>1855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3003</v>
      </c>
      <c r="I153"/>
    </row>
    <row r="154" spans="1:9" x14ac:dyDescent="0.2">
      <c r="A154" s="43" t="s">
        <v>1856</v>
      </c>
      <c r="I154"/>
    </row>
    <row r="155" spans="1:9" x14ac:dyDescent="0.2">
      <c r="A155" s="43" t="s">
        <v>1857</v>
      </c>
      <c r="I155"/>
    </row>
    <row r="156" spans="1:9" x14ac:dyDescent="0.2">
      <c r="A156" s="43" t="s">
        <v>1858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3001</v>
      </c>
      <c r="I159"/>
    </row>
    <row r="160" spans="1:9" x14ac:dyDescent="0.2">
      <c r="A160" s="43" t="s">
        <v>3002</v>
      </c>
      <c r="I160"/>
    </row>
    <row r="161" spans="1:9" x14ac:dyDescent="0.2">
      <c r="A161" s="43" t="s">
        <v>3004</v>
      </c>
      <c r="I161"/>
    </row>
    <row r="162" spans="1:9" x14ac:dyDescent="0.2">
      <c r="A162" s="43" t="s">
        <v>3005</v>
      </c>
      <c r="E162" s="161">
        <v>5.0000000000000001E-3</v>
      </c>
      <c r="F162" s="43" t="s">
        <v>87</v>
      </c>
      <c r="G162" s="43" t="s">
        <v>3007</v>
      </c>
      <c r="I162"/>
    </row>
    <row r="163" spans="1:9" x14ac:dyDescent="0.2">
      <c r="E163" s="43">
        <v>30</v>
      </c>
      <c r="F163" s="43" t="s">
        <v>89</v>
      </c>
      <c r="G163" s="43" t="s">
        <v>3006</v>
      </c>
      <c r="I163"/>
    </row>
    <row r="164" spans="1:9" x14ac:dyDescent="0.2">
      <c r="E164" s="43">
        <v>100000</v>
      </c>
      <c r="F164" s="43" t="s">
        <v>281</v>
      </c>
      <c r="G164" s="43" t="s">
        <v>3008</v>
      </c>
      <c r="I164"/>
    </row>
    <row r="165" spans="1:9" x14ac:dyDescent="0.2">
      <c r="A165" s="43" t="s">
        <v>3011</v>
      </c>
      <c r="E165" s="209">
        <f>PMT(E162,E163,E164,E166)</f>
        <v>-3597.8918413828028</v>
      </c>
      <c r="F165" s="43" t="s">
        <v>91</v>
      </c>
      <c r="G165" s="43" t="s">
        <v>3010</v>
      </c>
      <c r="I165"/>
    </row>
    <row r="166" spans="1:9" x14ac:dyDescent="0.2">
      <c r="E166" s="43">
        <v>0</v>
      </c>
      <c r="F166" s="43" t="s">
        <v>105</v>
      </c>
      <c r="G166" s="43" t="s">
        <v>3009</v>
      </c>
      <c r="I166"/>
    </row>
    <row r="167" spans="1:9" ht="16" thickBot="1" x14ac:dyDescent="0.25">
      <c r="I167"/>
    </row>
    <row r="168" spans="1:9" ht="16" thickBot="1" x14ac:dyDescent="0.25">
      <c r="A168" s="43" t="s">
        <v>1859</v>
      </c>
      <c r="F168" s="211">
        <f>-E165*1.011</f>
        <v>3637.4686516380134</v>
      </c>
      <c r="H168" s="43" t="s">
        <v>1860</v>
      </c>
      <c r="I168"/>
    </row>
    <row r="169" spans="1:9" x14ac:dyDescent="0.2">
      <c r="I169"/>
    </row>
    <row r="170" spans="1:9" x14ac:dyDescent="0.2">
      <c r="B170" s="43" t="s">
        <v>3012</v>
      </c>
      <c r="I170"/>
    </row>
    <row r="171" spans="1:9" x14ac:dyDescent="0.2">
      <c r="I171"/>
    </row>
    <row r="172" spans="1:9" ht="16" thickBot="1" x14ac:dyDescent="0.25">
      <c r="A172" s="43" t="s">
        <v>1861</v>
      </c>
      <c r="I172"/>
    </row>
    <row r="173" spans="1:9" ht="16" thickBot="1" x14ac:dyDescent="0.25">
      <c r="F173" s="211">
        <f>-E165*114.4/110</f>
        <v>3741.8075150381151</v>
      </c>
      <c r="H173" s="43" t="s">
        <v>1862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3013</v>
      </c>
      <c r="I178"/>
    </row>
    <row r="179" spans="1:9" x14ac:dyDescent="0.2">
      <c r="F179" s="681">
        <f>114.4/110-1</f>
        <v>4.0000000000000036E-2</v>
      </c>
      <c r="H179" s="43" t="s">
        <v>3014</v>
      </c>
      <c r="I179"/>
    </row>
    <row r="180" spans="1:9" x14ac:dyDescent="0.2">
      <c r="I180"/>
    </row>
    <row r="181" spans="1:9" ht="16" thickBot="1" x14ac:dyDescent="0.25">
      <c r="A181" s="43" t="s">
        <v>3015</v>
      </c>
      <c r="I181"/>
    </row>
    <row r="182" spans="1:9" ht="16" thickBot="1" x14ac:dyDescent="0.25">
      <c r="F182" s="682">
        <f>F173</f>
        <v>3741.8075150381151</v>
      </c>
      <c r="H182" s="43" t="s">
        <v>3016</v>
      </c>
      <c r="I182"/>
    </row>
    <row r="183" spans="1:9" x14ac:dyDescent="0.2">
      <c r="I183"/>
    </row>
    <row r="184" spans="1:9" x14ac:dyDescent="0.2">
      <c r="A184" s="44" t="s">
        <v>1863</v>
      </c>
      <c r="I184"/>
    </row>
    <row r="185" spans="1:9" x14ac:dyDescent="0.2">
      <c r="B185" s="43" t="s">
        <v>1864</v>
      </c>
      <c r="I185"/>
    </row>
    <row r="186" spans="1:9" x14ac:dyDescent="0.2">
      <c r="B186" s="43" t="s">
        <v>1865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3017</v>
      </c>
      <c r="I188"/>
    </row>
    <row r="189" spans="1:9" x14ac:dyDescent="0.2">
      <c r="E189" s="43">
        <f>30-5</f>
        <v>25</v>
      </c>
      <c r="F189" s="43" t="s">
        <v>89</v>
      </c>
      <c r="G189" s="43" t="s">
        <v>3018</v>
      </c>
      <c r="I189"/>
    </row>
    <row r="190" spans="1:9" x14ac:dyDescent="0.2">
      <c r="B190" s="43" t="s">
        <v>1866</v>
      </c>
      <c r="E190" s="209">
        <f>PV(E188,E189,E191,E192)</f>
        <v>84354.869789935503</v>
      </c>
      <c r="F190" s="43" t="s">
        <v>281</v>
      </c>
      <c r="G190" s="43" t="s">
        <v>3020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1867</v>
      </c>
      <c r="I191"/>
    </row>
    <row r="192" spans="1:9" x14ac:dyDescent="0.2">
      <c r="E192" s="43">
        <v>0</v>
      </c>
      <c r="F192" s="43" t="s">
        <v>105</v>
      </c>
      <c r="G192" s="43" t="s">
        <v>3019</v>
      </c>
      <c r="I192"/>
    </row>
    <row r="193" spans="1:9" x14ac:dyDescent="0.2">
      <c r="I193"/>
    </row>
    <row r="194" spans="1:9" ht="16" thickBot="1" x14ac:dyDescent="0.25">
      <c r="B194" s="43" t="s">
        <v>1868</v>
      </c>
      <c r="I194"/>
    </row>
    <row r="195" spans="1:9" ht="16" thickBot="1" x14ac:dyDescent="0.25">
      <c r="E195" s="211">
        <f>E190*114.4/110</f>
        <v>87729.064581532934</v>
      </c>
      <c r="H195" s="43" t="s">
        <v>3021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3022</v>
      </c>
      <c r="I198"/>
    </row>
    <row r="199" spans="1:9" x14ac:dyDescent="0.2">
      <c r="A199" s="44" t="s">
        <v>3023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1869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1870</v>
      </c>
    </row>
    <row r="206" spans="1:9" x14ac:dyDescent="0.2">
      <c r="A206" s="59" t="s">
        <v>1179</v>
      </c>
      <c r="B206" s="59" t="s">
        <v>1871</v>
      </c>
    </row>
    <row r="207" spans="1:9" x14ac:dyDescent="0.2">
      <c r="A207" s="43" t="s">
        <v>1872</v>
      </c>
      <c r="B207" s="161">
        <v>5.0000000000000001E-3</v>
      </c>
    </row>
    <row r="208" spans="1:9" x14ac:dyDescent="0.2">
      <c r="A208" s="43" t="s">
        <v>1873</v>
      </c>
      <c r="B208" s="161">
        <v>5.0000000000000001E-3</v>
      </c>
    </row>
    <row r="209" spans="1:2" x14ac:dyDescent="0.2">
      <c r="A209" s="43" t="s">
        <v>1874</v>
      </c>
      <c r="B209" s="161">
        <v>-2E-3</v>
      </c>
    </row>
    <row r="210" spans="1:2" x14ac:dyDescent="0.2">
      <c r="A210" s="43" t="s">
        <v>1875</v>
      </c>
      <c r="B210" s="161">
        <v>-4.0000000000000001E-3</v>
      </c>
    </row>
    <row r="211" spans="1:2" x14ac:dyDescent="0.2">
      <c r="A211" s="43" t="s">
        <v>1876</v>
      </c>
      <c r="B211" s="161">
        <v>-2E-3</v>
      </c>
    </row>
    <row r="212" spans="1:2" x14ac:dyDescent="0.2">
      <c r="A212" s="43" t="s">
        <v>1877</v>
      </c>
      <c r="B212" s="161">
        <v>5.0000000000000001E-3</v>
      </c>
    </row>
    <row r="213" spans="1:2" x14ac:dyDescent="0.2">
      <c r="A213" s="43" t="s">
        <v>1878</v>
      </c>
      <c r="B213" s="161">
        <v>3.0000000000000001E-3</v>
      </c>
    </row>
    <row r="214" spans="1:2" x14ac:dyDescent="0.2">
      <c r="A214" s="43" t="s">
        <v>1879</v>
      </c>
      <c r="B214" s="161">
        <v>-0.02</v>
      </c>
    </row>
    <row r="215" spans="1:2" x14ac:dyDescent="0.2">
      <c r="A215" s="43" t="s">
        <v>1880</v>
      </c>
      <c r="B215" s="161">
        <v>3.0000000000000001E-3</v>
      </c>
    </row>
    <row r="216" spans="1:2" x14ac:dyDescent="0.2">
      <c r="A216" s="43" t="s">
        <v>1881</v>
      </c>
      <c r="B216" s="161">
        <v>5.0000000000000001E-3</v>
      </c>
    </row>
    <row r="217" spans="1:2" x14ac:dyDescent="0.2">
      <c r="A217" s="43" t="s">
        <v>1882</v>
      </c>
      <c r="B217" s="161">
        <v>-2E-3</v>
      </c>
    </row>
    <row r="218" spans="1:2" x14ac:dyDescent="0.2">
      <c r="A218" s="43" t="s">
        <v>1883</v>
      </c>
      <c r="B218" s="161">
        <v>3.0000000000000001E-3</v>
      </c>
    </row>
    <row r="220" spans="1:2" x14ac:dyDescent="0.2">
      <c r="A220" s="43" t="s">
        <v>326</v>
      </c>
    </row>
    <row r="221" spans="1:2" x14ac:dyDescent="0.2">
      <c r="A221" s="43" t="s">
        <v>1884</v>
      </c>
    </row>
    <row r="222" spans="1:2" x14ac:dyDescent="0.2">
      <c r="A222" s="43" t="s">
        <v>1885</v>
      </c>
    </row>
    <row r="224" spans="1:2" x14ac:dyDescent="0.2">
      <c r="A224" s="44" t="s">
        <v>3024</v>
      </c>
    </row>
    <row r="225" spans="1:8" x14ac:dyDescent="0.2">
      <c r="A225" s="59" t="s">
        <v>1179</v>
      </c>
      <c r="B225" s="59" t="s">
        <v>1871</v>
      </c>
      <c r="C225" s="49" t="s">
        <v>1886</v>
      </c>
    </row>
    <row r="226" spans="1:8" x14ac:dyDescent="0.2">
      <c r="A226" s="43" t="s">
        <v>1872</v>
      </c>
      <c r="B226" s="161">
        <v>5.0000000000000001E-3</v>
      </c>
      <c r="C226" s="161">
        <f>B226+1</f>
        <v>1.0049999999999999</v>
      </c>
      <c r="E226" s="43" t="s">
        <v>1887</v>
      </c>
    </row>
    <row r="227" spans="1:8" x14ac:dyDescent="0.2">
      <c r="A227" s="43" t="s">
        <v>1873</v>
      </c>
      <c r="B227" s="161">
        <v>5.0000000000000001E-3</v>
      </c>
      <c r="C227" s="161">
        <f t="shared" ref="C227:C237" si="1">B227+1</f>
        <v>1.0049999999999999</v>
      </c>
      <c r="E227" s="212"/>
      <c r="H227" s="683">
        <f>PRODUCT(C226:C237)-1</f>
        <v>-1.2792248369833947E-3</v>
      </c>
    </row>
    <row r="228" spans="1:8" x14ac:dyDescent="0.2">
      <c r="A228" s="43" t="s">
        <v>1874</v>
      </c>
      <c r="B228" s="161">
        <v>-2E-3</v>
      </c>
      <c r="C228" s="161">
        <f t="shared" si="1"/>
        <v>0.998</v>
      </c>
      <c r="E228" s="43" t="s">
        <v>3025</v>
      </c>
    </row>
    <row r="229" spans="1:8" x14ac:dyDescent="0.2">
      <c r="A229" s="43" t="s">
        <v>1875</v>
      </c>
      <c r="B229" s="161">
        <v>-4.0000000000000001E-3</v>
      </c>
      <c r="C229" s="161">
        <f t="shared" si="1"/>
        <v>0.996</v>
      </c>
      <c r="E229" s="43" t="s">
        <v>1888</v>
      </c>
    </row>
    <row r="230" spans="1:8" ht="16" thickBot="1" x14ac:dyDescent="0.25">
      <c r="A230" s="43" t="s">
        <v>1876</v>
      </c>
      <c r="B230" s="161">
        <v>-2E-3</v>
      </c>
      <c r="C230" s="161">
        <f t="shared" si="1"/>
        <v>0.998</v>
      </c>
    </row>
    <row r="231" spans="1:8" x14ac:dyDescent="0.2">
      <c r="A231" s="43" t="s">
        <v>1877</v>
      </c>
      <c r="B231" s="161">
        <v>5.0000000000000001E-3</v>
      </c>
      <c r="C231" s="161">
        <f t="shared" si="1"/>
        <v>1.0049999999999999</v>
      </c>
      <c r="E231" s="213" t="s">
        <v>441</v>
      </c>
      <c r="F231" s="214"/>
      <c r="G231" s="214"/>
      <c r="H231" s="215"/>
    </row>
    <row r="232" spans="1:8" x14ac:dyDescent="0.2">
      <c r="A232" s="43" t="s">
        <v>1878</v>
      </c>
      <c r="B232" s="161">
        <v>3.0000000000000001E-3</v>
      </c>
      <c r="C232" s="161">
        <f t="shared" si="1"/>
        <v>1.0029999999999999</v>
      </c>
      <c r="E232" s="216" t="s">
        <v>3026</v>
      </c>
      <c r="H232" s="217"/>
    </row>
    <row r="233" spans="1:8" ht="16" thickBot="1" x14ac:dyDescent="0.25">
      <c r="A233" s="43" t="s">
        <v>1879</v>
      </c>
      <c r="B233" s="161">
        <v>-0.02</v>
      </c>
      <c r="C233" s="161">
        <f t="shared" si="1"/>
        <v>0.98</v>
      </c>
      <c r="E233" s="218" t="s">
        <v>3027</v>
      </c>
      <c r="F233" s="219"/>
      <c r="G233" s="219"/>
      <c r="H233" s="220"/>
    </row>
    <row r="234" spans="1:8" ht="16" thickBot="1" x14ac:dyDescent="0.25">
      <c r="A234" s="43" t="s">
        <v>1880</v>
      </c>
      <c r="B234" s="161">
        <v>3.0000000000000001E-3</v>
      </c>
      <c r="C234" s="161">
        <f t="shared" si="1"/>
        <v>1.0029999999999999</v>
      </c>
      <c r="E234" s="43" t="s">
        <v>1889</v>
      </c>
    </row>
    <row r="235" spans="1:8" x14ac:dyDescent="0.2">
      <c r="A235" s="43" t="s">
        <v>1881</v>
      </c>
      <c r="B235" s="161">
        <v>5.0000000000000001E-3</v>
      </c>
      <c r="C235" s="161">
        <f t="shared" si="1"/>
        <v>1.0049999999999999</v>
      </c>
      <c r="E235" s="324" t="s">
        <v>1890</v>
      </c>
      <c r="F235" s="214"/>
      <c r="G235" s="214"/>
      <c r="H235" s="215"/>
    </row>
    <row r="236" spans="1:8" x14ac:dyDescent="0.2">
      <c r="A236" s="43" t="s">
        <v>1882</v>
      </c>
      <c r="B236" s="161">
        <v>-2E-3</v>
      </c>
      <c r="C236" s="161">
        <f t="shared" si="1"/>
        <v>0.998</v>
      </c>
      <c r="E236" s="323" t="s">
        <v>1891</v>
      </c>
      <c r="H236" s="217"/>
    </row>
    <row r="237" spans="1:8" ht="16" thickBot="1" x14ac:dyDescent="0.25">
      <c r="A237" s="43" t="s">
        <v>1883</v>
      </c>
      <c r="B237" s="161">
        <v>3.0000000000000001E-3</v>
      </c>
      <c r="C237" s="161">
        <f t="shared" si="1"/>
        <v>1.0029999999999999</v>
      </c>
      <c r="E237" s="236" t="s">
        <v>1892</v>
      </c>
      <c r="F237" s="219"/>
      <c r="G237" s="219"/>
      <c r="H237" s="220"/>
    </row>
    <row r="240" spans="1:8" x14ac:dyDescent="0.2">
      <c r="E240" s="712">
        <f>(1+4.8%/12)^12-1</f>
        <v>4.9070207534805954E-2</v>
      </c>
    </row>
    <row r="241" spans="1:8" ht="16" thickBot="1" x14ac:dyDescent="0.25">
      <c r="E241" s="713"/>
    </row>
    <row r="242" spans="1:8" x14ac:dyDescent="0.2">
      <c r="E242" s="324" t="s">
        <v>1893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1894</v>
      </c>
      <c r="C246" s="684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1895</v>
      </c>
    </row>
    <row r="250" spans="1:8" x14ac:dyDescent="0.2">
      <c r="A250" s="221" t="s">
        <v>1896</v>
      </c>
    </row>
    <row r="251" spans="1:8" x14ac:dyDescent="0.2">
      <c r="A251" s="221"/>
    </row>
    <row r="252" spans="1:8" x14ac:dyDescent="0.2">
      <c r="A252" s="222" t="s">
        <v>3028</v>
      </c>
    </row>
    <row r="253" spans="1:8" x14ac:dyDescent="0.2">
      <c r="A253" s="222"/>
    </row>
    <row r="254" spans="1:8" x14ac:dyDescent="0.2">
      <c r="A254" s="223" t="s">
        <v>1897</v>
      </c>
    </row>
    <row r="255" spans="1:8" x14ac:dyDescent="0.2">
      <c r="A255" s="223"/>
    </row>
    <row r="256" spans="1:8" x14ac:dyDescent="0.2">
      <c r="A256" s="224" t="s">
        <v>1898</v>
      </c>
    </row>
    <row r="257" spans="1:8" x14ac:dyDescent="0.2">
      <c r="A257" s="224"/>
    </row>
    <row r="258" spans="1:8" x14ac:dyDescent="0.2">
      <c r="A258" s="225" t="s">
        <v>1899</v>
      </c>
    </row>
    <row r="260" spans="1:8" x14ac:dyDescent="0.2">
      <c r="A260" s="181" t="s">
        <v>1900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1901</v>
      </c>
    </row>
    <row r="262" spans="1:8" x14ac:dyDescent="0.2">
      <c r="A262" s="43" t="s">
        <v>1902</v>
      </c>
    </row>
    <row r="263" spans="1:8" x14ac:dyDescent="0.2">
      <c r="A263" s="43" t="s">
        <v>1903</v>
      </c>
    </row>
    <row r="264" spans="1:8" x14ac:dyDescent="0.2">
      <c r="A264" s="43" t="s">
        <v>1904</v>
      </c>
    </row>
    <row r="265" spans="1:8" x14ac:dyDescent="0.2">
      <c r="A265" s="43" t="s">
        <v>1905</v>
      </c>
    </row>
    <row r="267" spans="1:8" x14ac:dyDescent="0.2">
      <c r="A267" s="44" t="s">
        <v>111</v>
      </c>
    </row>
    <row r="269" spans="1:8" ht="16" thickBot="1" x14ac:dyDescent="0.25">
      <c r="A269" s="43" t="s">
        <v>1906</v>
      </c>
    </row>
    <row r="270" spans="1:8" ht="16" thickBot="1" x14ac:dyDescent="0.25">
      <c r="E270" s="226">
        <f>1.02*1.045-1</f>
        <v>6.5899999999999848E-2</v>
      </c>
      <c r="G270" s="43" t="s">
        <v>1907</v>
      </c>
    </row>
    <row r="272" spans="1:8" x14ac:dyDescent="0.2">
      <c r="A272" s="43" t="s">
        <v>1908</v>
      </c>
    </row>
    <row r="273" spans="1:8" ht="16" thickBot="1" x14ac:dyDescent="0.25">
      <c r="A273" s="43" t="s">
        <v>1909</v>
      </c>
    </row>
    <row r="274" spans="1:8" ht="16" thickBot="1" x14ac:dyDescent="0.25">
      <c r="E274" s="227">
        <f>(1+E270)/1.045-1</f>
        <v>2.0000000000000018E-2</v>
      </c>
      <c r="G274" s="43" t="s">
        <v>1910</v>
      </c>
    </row>
    <row r="276" spans="1:8" x14ac:dyDescent="0.2">
      <c r="A276" s="182" t="s">
        <v>1911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1912</v>
      </c>
    </row>
    <row r="278" spans="1:8" x14ac:dyDescent="0.2">
      <c r="A278" s="43" t="s">
        <v>1913</v>
      </c>
    </row>
    <row r="279" spans="1:8" x14ac:dyDescent="0.2">
      <c r="A279" s="43" t="s">
        <v>1914</v>
      </c>
    </row>
    <row r="281" spans="1:8" x14ac:dyDescent="0.2">
      <c r="A281" s="44" t="s">
        <v>111</v>
      </c>
    </row>
    <row r="283" spans="1:8" x14ac:dyDescent="0.2">
      <c r="A283" s="43" t="s">
        <v>1915</v>
      </c>
      <c r="D283" s="43">
        <f>500000*1.028</f>
        <v>514000</v>
      </c>
    </row>
    <row r="284" spans="1:8" x14ac:dyDescent="0.2">
      <c r="A284" s="43" t="s">
        <v>1916</v>
      </c>
      <c r="D284" s="156">
        <f>1.028/1.037-1</f>
        <v>-8.6788813886209404E-3</v>
      </c>
    </row>
    <row r="286" spans="1:8" x14ac:dyDescent="0.2">
      <c r="A286" s="43" t="s">
        <v>1917</v>
      </c>
    </row>
    <row r="287" spans="1:8" x14ac:dyDescent="0.2">
      <c r="A287" s="43" t="s">
        <v>1918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04" t="s">
        <v>2427</v>
      </c>
      <c r="B1" s="704"/>
      <c r="C1" s="704"/>
      <c r="D1" s="704"/>
      <c r="E1" s="704"/>
      <c r="F1" s="704"/>
      <c r="G1" s="704"/>
      <c r="H1" s="704"/>
    </row>
    <row r="3" spans="1:8" x14ac:dyDescent="0.2">
      <c r="A3" s="44" t="s">
        <v>1919</v>
      </c>
    </row>
    <row r="4" spans="1:8" x14ac:dyDescent="0.2">
      <c r="A4" s="43" t="s">
        <v>1920</v>
      </c>
    </row>
    <row r="5" spans="1:8" x14ac:dyDescent="0.2">
      <c r="A5" s="43" t="s">
        <v>1921</v>
      </c>
    </row>
    <row r="6" spans="1:8" x14ac:dyDescent="0.2">
      <c r="A6" s="43" t="s">
        <v>1922</v>
      </c>
    </row>
    <row r="8" spans="1:8" x14ac:dyDescent="0.2">
      <c r="A8" s="43" t="s">
        <v>1923</v>
      </c>
      <c r="B8" s="43" t="s">
        <v>1974</v>
      </c>
    </row>
    <row r="9" spans="1:8" x14ac:dyDescent="0.2">
      <c r="A9" s="229" t="s">
        <v>1975</v>
      </c>
      <c r="B9" s="43" t="s">
        <v>1924</v>
      </c>
    </row>
    <row r="10" spans="1:8" x14ac:dyDescent="0.2">
      <c r="B10" s="43" t="s">
        <v>1925</v>
      </c>
    </row>
    <row r="11" spans="1:8" x14ac:dyDescent="0.2">
      <c r="B11" s="43" t="s">
        <v>1926</v>
      </c>
    </row>
    <row r="12" spans="1:8" x14ac:dyDescent="0.2">
      <c r="B12" s="43" t="s">
        <v>1927</v>
      </c>
    </row>
    <row r="14" spans="1:8" x14ac:dyDescent="0.2">
      <c r="A14" s="43" t="s">
        <v>1928</v>
      </c>
      <c r="B14" s="43" t="s">
        <v>1976</v>
      </c>
    </row>
    <row r="15" spans="1:8" x14ac:dyDescent="0.2">
      <c r="A15" s="229" t="s">
        <v>1977</v>
      </c>
      <c r="B15" s="43" t="s">
        <v>1929</v>
      </c>
    </row>
    <row r="16" spans="1:8" x14ac:dyDescent="0.2">
      <c r="B16" s="43" t="s">
        <v>1930</v>
      </c>
    </row>
    <row r="18" spans="1:8" x14ac:dyDescent="0.2">
      <c r="B18" s="43" t="s">
        <v>1978</v>
      </c>
    </row>
    <row r="19" spans="1:8" x14ac:dyDescent="0.2">
      <c r="B19" s="43" t="s">
        <v>1931</v>
      </c>
    </row>
    <row r="21" spans="1:8" x14ac:dyDescent="0.2">
      <c r="A21" s="45" t="s">
        <v>1932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1979</v>
      </c>
    </row>
    <row r="23" spans="1:8" x14ac:dyDescent="0.2">
      <c r="A23" s="43" t="s">
        <v>1933</v>
      </c>
    </row>
    <row r="24" spans="1:8" x14ac:dyDescent="0.2">
      <c r="A24" s="43" t="s">
        <v>1934</v>
      </c>
    </row>
    <row r="26" spans="1:8" x14ac:dyDescent="0.2">
      <c r="A26" s="44" t="s">
        <v>111</v>
      </c>
    </row>
    <row r="27" spans="1:8" x14ac:dyDescent="0.2">
      <c r="A27" s="43" t="s">
        <v>1980</v>
      </c>
    </row>
    <row r="28" spans="1:8" x14ac:dyDescent="0.2">
      <c r="A28" s="43" t="s">
        <v>1981</v>
      </c>
    </row>
    <row r="29" spans="1:8" x14ac:dyDescent="0.2">
      <c r="A29" s="43" t="s">
        <v>1982</v>
      </c>
    </row>
    <row r="30" spans="1:8" x14ac:dyDescent="0.2">
      <c r="A30" s="43" t="s">
        <v>1983</v>
      </c>
    </row>
    <row r="31" spans="1:8" ht="16" thickBot="1" x14ac:dyDescent="0.25"/>
    <row r="32" spans="1:8" x14ac:dyDescent="0.2">
      <c r="B32" s="80" t="s">
        <v>1984</v>
      </c>
      <c r="C32" s="80" t="s">
        <v>1985</v>
      </c>
      <c r="E32" s="324" t="s">
        <v>2428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2429</v>
      </c>
      <c r="H33" s="217"/>
    </row>
    <row r="34" spans="1:8" x14ac:dyDescent="0.2">
      <c r="B34" s="80">
        <v>1</v>
      </c>
      <c r="C34" s="80">
        <v>80</v>
      </c>
      <c r="E34" s="323" t="s">
        <v>2430</v>
      </c>
      <c r="H34" s="217"/>
    </row>
    <row r="35" spans="1:8" ht="16" thickBot="1" x14ac:dyDescent="0.25">
      <c r="B35" s="80">
        <v>2</v>
      </c>
      <c r="C35" s="80">
        <v>90</v>
      </c>
      <c r="E35" s="236" t="s">
        <v>2431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1986</v>
      </c>
      <c r="C38" s="54">
        <v>0.1</v>
      </c>
      <c r="D38" s="43" t="s">
        <v>1987</v>
      </c>
      <c r="F38" s="43" t="s">
        <v>1988</v>
      </c>
    </row>
    <row r="39" spans="1:8" ht="16" thickBot="1" x14ac:dyDescent="0.25">
      <c r="C39" s="231">
        <f>NPV(C38,C34:C36)+C33</f>
        <v>99.699474079639344</v>
      </c>
      <c r="D39" s="43" t="s">
        <v>1989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1990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1991</v>
      </c>
      <c r="B42" s="219"/>
      <c r="C42" s="237"/>
      <c r="D42" s="219"/>
      <c r="E42" s="220"/>
      <c r="F42" s="47" t="s">
        <v>1958</v>
      </c>
      <c r="G42" s="43" t="s">
        <v>265</v>
      </c>
    </row>
    <row r="43" spans="1:8" x14ac:dyDescent="0.2">
      <c r="C43" s="230"/>
      <c r="F43" s="47" t="s">
        <v>1992</v>
      </c>
      <c r="G43" s="43" t="s">
        <v>1993</v>
      </c>
    </row>
    <row r="44" spans="1:8" x14ac:dyDescent="0.2">
      <c r="F44" s="47" t="s">
        <v>1994</v>
      </c>
      <c r="G44" s="43" t="s">
        <v>1995</v>
      </c>
    </row>
    <row r="45" spans="1:8" x14ac:dyDescent="0.2">
      <c r="F45" s="47" t="s">
        <v>1996</v>
      </c>
      <c r="G45" s="43" t="s">
        <v>1997</v>
      </c>
    </row>
    <row r="46" spans="1:8" x14ac:dyDescent="0.2">
      <c r="A46" s="43" t="s">
        <v>2432</v>
      </c>
    </row>
    <row r="47" spans="1:8" x14ac:dyDescent="0.2">
      <c r="A47" s="43" t="s">
        <v>1998</v>
      </c>
    </row>
    <row r="48" spans="1:8" x14ac:dyDescent="0.2">
      <c r="A48" s="43" t="s">
        <v>1999</v>
      </c>
    </row>
    <row r="50" spans="1:11" x14ac:dyDescent="0.2">
      <c r="B50" s="80" t="s">
        <v>1984</v>
      </c>
      <c r="C50" s="80" t="s">
        <v>1985</v>
      </c>
      <c r="D50" s="80" t="s">
        <v>153</v>
      </c>
      <c r="E50" s="80" t="s">
        <v>1016</v>
      </c>
      <c r="F50" s="233" t="s">
        <v>1017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1935</v>
      </c>
      <c r="B64" s="46"/>
      <c r="C64" s="46"/>
      <c r="D64" s="46"/>
      <c r="E64" s="46"/>
      <c r="F64" s="46"/>
      <c r="G64" s="46"/>
      <c r="H64" s="46"/>
      <c r="J64" s="43" t="s">
        <v>570</v>
      </c>
      <c r="K64" s="43" t="s">
        <v>853</v>
      </c>
    </row>
    <row r="65" spans="1:11" x14ac:dyDescent="0.2">
      <c r="A65" s="43" t="s">
        <v>1936</v>
      </c>
      <c r="J65" s="43">
        <v>0</v>
      </c>
      <c r="K65" s="43">
        <v>-400</v>
      </c>
    </row>
    <row r="66" spans="1:11" x14ac:dyDescent="0.2">
      <c r="A66" s="43" t="s">
        <v>1937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2000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2001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2002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2003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2004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2005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2006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2007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2008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2009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2010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2011</v>
      </c>
      <c r="F84" s="74">
        <v>-400000</v>
      </c>
      <c r="G84" s="43" t="s">
        <v>1986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2012</v>
      </c>
      <c r="E85" s="149" t="s">
        <v>2013</v>
      </c>
      <c r="F85" s="238">
        <f>F83+F84</f>
        <v>-211461.7106602336</v>
      </c>
      <c r="G85" s="43" t="s">
        <v>2014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2015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2016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2017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2018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2433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1938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326</v>
      </c>
    </row>
    <row r="101" spans="1:8" x14ac:dyDescent="0.2">
      <c r="A101" s="43" t="s">
        <v>1939</v>
      </c>
    </row>
    <row r="102" spans="1:8" x14ac:dyDescent="0.2">
      <c r="A102" s="43" t="s">
        <v>1940</v>
      </c>
    </row>
    <row r="104" spans="1:8" x14ac:dyDescent="0.2">
      <c r="A104" s="43" t="s">
        <v>291</v>
      </c>
    </row>
    <row r="105" spans="1:8" x14ac:dyDescent="0.2">
      <c r="B105" s="80" t="s">
        <v>570</v>
      </c>
      <c r="C105" s="80" t="s">
        <v>853</v>
      </c>
      <c r="E105" s="43" t="s">
        <v>2019</v>
      </c>
    </row>
    <row r="106" spans="1:8" x14ac:dyDescent="0.2">
      <c r="B106" s="80">
        <v>0</v>
      </c>
      <c r="C106" s="80">
        <v>-500</v>
      </c>
      <c r="E106" s="43" t="s">
        <v>2020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2021</v>
      </c>
      <c r="F114" s="43" t="str">
        <f ca="1">_xlfn.FORMULATEXT(C114)</f>
        <v>=IRR(C106:C112)</v>
      </c>
    </row>
    <row r="116" spans="1:8" x14ac:dyDescent="0.2">
      <c r="B116" s="43" t="s">
        <v>2022</v>
      </c>
    </row>
    <row r="117" spans="1:8" x14ac:dyDescent="0.2">
      <c r="B117" s="43" t="s">
        <v>2023</v>
      </c>
    </row>
    <row r="118" spans="1:8" x14ac:dyDescent="0.2">
      <c r="B118" s="43" t="s">
        <v>2024</v>
      </c>
    </row>
    <row r="120" spans="1:8" x14ac:dyDescent="0.2">
      <c r="A120" s="43" t="s">
        <v>292</v>
      </c>
    </row>
    <row r="121" spans="1:8" x14ac:dyDescent="0.2">
      <c r="B121" s="43" t="s">
        <v>2025</v>
      </c>
    </row>
    <row r="122" spans="1:8" x14ac:dyDescent="0.2">
      <c r="B122" s="43" t="s">
        <v>2026</v>
      </c>
    </row>
    <row r="123" spans="1:8" ht="16" thickBot="1" x14ac:dyDescent="0.25"/>
    <row r="124" spans="1:8" ht="16" thickBot="1" x14ac:dyDescent="0.25">
      <c r="A124" s="43" t="s">
        <v>1200</v>
      </c>
      <c r="C124" s="543" t="s">
        <v>2027</v>
      </c>
      <c r="D124" s="544" t="s">
        <v>2028</v>
      </c>
      <c r="E124" s="545" t="s">
        <v>2029</v>
      </c>
      <c r="F124" s="546" t="s">
        <v>2030</v>
      </c>
    </row>
    <row r="125" spans="1:8" x14ac:dyDescent="0.2">
      <c r="C125" s="547" t="s">
        <v>1958</v>
      </c>
      <c r="D125" s="541" t="s">
        <v>2031</v>
      </c>
      <c r="E125" s="542" t="s">
        <v>2032</v>
      </c>
      <c r="F125" s="542" t="s">
        <v>2033</v>
      </c>
    </row>
    <row r="126" spans="1:8" ht="16" thickBot="1" x14ac:dyDescent="0.25">
      <c r="C126" s="548" t="s">
        <v>1952</v>
      </c>
      <c r="D126" s="540" t="s">
        <v>2034</v>
      </c>
      <c r="E126" s="80" t="s">
        <v>2035</v>
      </c>
      <c r="F126" s="80" t="s">
        <v>2036</v>
      </c>
    </row>
    <row r="128" spans="1:8" x14ac:dyDescent="0.2">
      <c r="A128" s="45" t="s">
        <v>1941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1942</v>
      </c>
    </row>
    <row r="130" spans="1:5" x14ac:dyDescent="0.2">
      <c r="A130" s="43" t="s">
        <v>1943</v>
      </c>
    </row>
    <row r="132" spans="1:5" x14ac:dyDescent="0.2">
      <c r="B132" s="80" t="s">
        <v>1171</v>
      </c>
      <c r="C132" s="80" t="s">
        <v>1944</v>
      </c>
      <c r="D132" s="80" t="s">
        <v>1945</v>
      </c>
      <c r="E132" s="80" t="s">
        <v>1946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326</v>
      </c>
    </row>
    <row r="137" spans="1:5" x14ac:dyDescent="0.2">
      <c r="A137" s="43" t="s">
        <v>1947</v>
      </c>
    </row>
    <row r="138" spans="1:5" x14ac:dyDescent="0.2">
      <c r="A138" s="43" t="s">
        <v>1948</v>
      </c>
    </row>
    <row r="139" spans="1:5" x14ac:dyDescent="0.2">
      <c r="A139" s="43" t="s">
        <v>1949</v>
      </c>
    </row>
    <row r="141" spans="1:5" x14ac:dyDescent="0.2">
      <c r="A141" s="43" t="s">
        <v>2037</v>
      </c>
    </row>
    <row r="142" spans="1:5" x14ac:dyDescent="0.2">
      <c r="B142" s="80" t="s">
        <v>1171</v>
      </c>
      <c r="C142" s="80" t="s">
        <v>1944</v>
      </c>
      <c r="D142" s="80" t="s">
        <v>1945</v>
      </c>
      <c r="E142" s="80" t="s">
        <v>1946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1958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50" t="s">
        <v>2038</v>
      </c>
    </row>
    <row r="149" spans="1:8" x14ac:dyDescent="0.2">
      <c r="B149" s="47" t="s">
        <v>1952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50" t="s">
        <v>2039</v>
      </c>
    </row>
    <row r="151" spans="1:8" x14ac:dyDescent="0.2">
      <c r="A151" s="43" t="s">
        <v>2040</v>
      </c>
    </row>
    <row r="152" spans="1:8" x14ac:dyDescent="0.2">
      <c r="A152" s="43" t="s">
        <v>2041</v>
      </c>
    </row>
    <row r="153" spans="1:8" x14ac:dyDescent="0.2">
      <c r="A153" s="43" t="s">
        <v>2042</v>
      </c>
    </row>
    <row r="155" spans="1:8" x14ac:dyDescent="0.2">
      <c r="A155" s="44" t="s">
        <v>2043</v>
      </c>
    </row>
    <row r="159" spans="1:8" x14ac:dyDescent="0.2">
      <c r="A159" s="45" t="s">
        <v>1950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1951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1952</v>
      </c>
    </row>
    <row r="162" spans="1:7" x14ac:dyDescent="0.2">
      <c r="B162" s="80" t="s">
        <v>1944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1945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1953</v>
      </c>
    </row>
    <row r="166" spans="1:7" x14ac:dyDescent="0.2">
      <c r="A166" s="43" t="s">
        <v>1954</v>
      </c>
    </row>
    <row r="167" spans="1:7" x14ac:dyDescent="0.2">
      <c r="A167" s="43" t="s">
        <v>1955</v>
      </c>
    </row>
    <row r="168" spans="1:7" x14ac:dyDescent="0.2">
      <c r="A168" s="43" t="s">
        <v>1956</v>
      </c>
    </row>
    <row r="169" spans="1:7" x14ac:dyDescent="0.2">
      <c r="A169" s="43" t="s">
        <v>1957</v>
      </c>
    </row>
    <row r="171" spans="1:7" x14ac:dyDescent="0.2">
      <c r="A171" s="43" t="s">
        <v>2044</v>
      </c>
    </row>
    <row r="172" spans="1:7" x14ac:dyDescent="0.2">
      <c r="A172" s="43" t="s">
        <v>2045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1952</v>
      </c>
    </row>
    <row r="175" spans="1:7" x14ac:dyDescent="0.2">
      <c r="B175" s="80" t="s">
        <v>1944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1945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2046</v>
      </c>
    </row>
    <row r="179" spans="1:8" x14ac:dyDescent="0.2">
      <c r="B179" s="80"/>
      <c r="C179" s="80" t="s">
        <v>1944</v>
      </c>
      <c r="D179" s="80" t="s">
        <v>1945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2047</v>
      </c>
      <c r="D185" s="47" t="s">
        <v>2048</v>
      </c>
      <c r="E185" s="291"/>
      <c r="F185" s="291"/>
      <c r="G185" s="291"/>
    </row>
    <row r="186" spans="1:8" ht="16" thickBot="1" x14ac:dyDescent="0.25">
      <c r="A186" s="43" t="s">
        <v>2049</v>
      </c>
      <c r="C186" s="549">
        <f>NPV(5%,C181:C183)+C180</f>
        <v>126.78976352445738</v>
      </c>
      <c r="D186" s="297">
        <f>NPV(5%,D181:D183)+D180</f>
        <v>117.85984234963826</v>
      </c>
      <c r="E186" s="291" t="s">
        <v>2050</v>
      </c>
      <c r="F186" s="291"/>
      <c r="G186" s="291"/>
    </row>
    <row r="187" spans="1:8" ht="16" thickBot="1" x14ac:dyDescent="0.25">
      <c r="A187" s="43" t="s">
        <v>2051</v>
      </c>
      <c r="C187" s="550">
        <f>NPV(9.7%,C181:C183)+C180</f>
        <v>100.00543737920071</v>
      </c>
      <c r="D187" s="550">
        <f>NPV(9.7%,D181:D183)+D180</f>
        <v>100.00362491946717</v>
      </c>
      <c r="E187" s="291" t="s">
        <v>2052</v>
      </c>
      <c r="F187" s="291"/>
      <c r="G187" s="291"/>
    </row>
    <row r="188" spans="1:8" ht="16" thickBot="1" x14ac:dyDescent="0.25">
      <c r="A188" s="43" t="s">
        <v>2053</v>
      </c>
      <c r="C188" s="297">
        <f>NPV(15%,C181:C183)+C180</f>
        <v>73.987014054409485</v>
      </c>
      <c r="D188" s="551">
        <f>NPV(15%,D181:D183)+D180</f>
        <v>82.658009369606361</v>
      </c>
      <c r="E188" s="291" t="s">
        <v>2434</v>
      </c>
      <c r="F188" s="291"/>
    </row>
    <row r="189" spans="1:8" ht="16" thickBot="1" x14ac:dyDescent="0.25">
      <c r="A189" s="43" t="s">
        <v>2054</v>
      </c>
      <c r="C189" s="297">
        <f>NPV(60.74%,C181:C183)+C180</f>
        <v>-50.006770079154393</v>
      </c>
      <c r="D189" s="551">
        <f>NPV(60.74%,D181:D183)+D180</f>
        <v>-4.5133861029285072E-3</v>
      </c>
      <c r="E189" s="291" t="s">
        <v>2055</v>
      </c>
    </row>
    <row r="191" spans="1:8" x14ac:dyDescent="0.2">
      <c r="A191" s="45" t="s">
        <v>2483</v>
      </c>
      <c r="B191" s="46"/>
      <c r="C191" s="46"/>
      <c r="D191" s="46"/>
      <c r="E191" s="46"/>
      <c r="F191" s="250"/>
      <c r="G191" s="250" t="s">
        <v>2435</v>
      </c>
      <c r="H191" s="46"/>
    </row>
    <row r="192" spans="1:8" x14ac:dyDescent="0.2">
      <c r="A192" s="43" t="s">
        <v>2436</v>
      </c>
    </row>
    <row r="194" spans="1:8" x14ac:dyDescent="0.2">
      <c r="B194" s="80"/>
      <c r="C194" s="80" t="s">
        <v>1944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2437</v>
      </c>
    </row>
    <row r="202" spans="1:8" x14ac:dyDescent="0.2">
      <c r="A202" s="43" t="s">
        <v>2438</v>
      </c>
    </row>
    <row r="203" spans="1:8" x14ac:dyDescent="0.2">
      <c r="A203" s="43" t="s">
        <v>2439</v>
      </c>
    </row>
    <row r="205" spans="1:8" x14ac:dyDescent="0.2">
      <c r="H205" s="43" t="s">
        <v>2056</v>
      </c>
    </row>
    <row r="206" spans="1:8" x14ac:dyDescent="0.2">
      <c r="E206" s="43" t="s">
        <v>2057</v>
      </c>
      <c r="H206" s="43" t="s">
        <v>2485</v>
      </c>
    </row>
    <row r="207" spans="1:8" x14ac:dyDescent="0.2">
      <c r="H207" s="79" t="s">
        <v>2058</v>
      </c>
    </row>
    <row r="209" spans="1:9" x14ac:dyDescent="0.2">
      <c r="H209" s="43" t="s">
        <v>2059</v>
      </c>
    </row>
    <row r="210" spans="1:9" x14ac:dyDescent="0.2">
      <c r="H210" s="43" t="s">
        <v>2018</v>
      </c>
    </row>
    <row r="212" spans="1:9" x14ac:dyDescent="0.2">
      <c r="H212" s="43" t="s">
        <v>2484</v>
      </c>
    </row>
    <row r="213" spans="1:9" x14ac:dyDescent="0.2">
      <c r="H213" s="43" t="s">
        <v>2060</v>
      </c>
    </row>
    <row r="214" spans="1:9" x14ac:dyDescent="0.2">
      <c r="A214" s="43" t="s">
        <v>2061</v>
      </c>
      <c r="H214" s="43" t="s">
        <v>2062</v>
      </c>
    </row>
    <row r="215" spans="1:9" x14ac:dyDescent="0.2">
      <c r="H215" s="43" t="s">
        <v>2063</v>
      </c>
    </row>
    <row r="217" spans="1:9" x14ac:dyDescent="0.2">
      <c r="B217" s="47" t="s">
        <v>2047</v>
      </c>
      <c r="H217" s="43" t="s">
        <v>2064</v>
      </c>
    </row>
    <row r="218" spans="1:9" x14ac:dyDescent="0.2">
      <c r="I218" s="557" t="s">
        <v>2065</v>
      </c>
    </row>
    <row r="224" spans="1:9" x14ac:dyDescent="0.2">
      <c r="A224" s="45" t="s">
        <v>2066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1072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2440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2441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2442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2067</v>
      </c>
    </row>
    <row r="231" spans="1:8" x14ac:dyDescent="0.2">
      <c r="A231" s="43" t="s">
        <v>2068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1958</v>
      </c>
      <c r="H232" s="80" t="s">
        <v>1959</v>
      </c>
    </row>
    <row r="233" spans="1:8" x14ac:dyDescent="0.2">
      <c r="A233" s="80" t="s">
        <v>1944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1945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1946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1960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1961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1962</v>
      </c>
    </row>
    <row r="241" spans="1:10" x14ac:dyDescent="0.2">
      <c r="A241" s="44" t="s">
        <v>111</v>
      </c>
      <c r="B241" s="43" t="s">
        <v>2493</v>
      </c>
    </row>
    <row r="242" spans="1:10" x14ac:dyDescent="0.2">
      <c r="A242" s="44"/>
      <c r="B242" s="43" t="s">
        <v>2494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1958</v>
      </c>
      <c r="H243" s="562" t="s">
        <v>2495</v>
      </c>
      <c r="I243" s="564" t="s">
        <v>2443</v>
      </c>
    </row>
    <row r="244" spans="1:10" x14ac:dyDescent="0.2">
      <c r="A244" s="80" t="s">
        <v>1944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63">
        <f>G244/ABS(B244)</f>
        <v>0.66040570999248649</v>
      </c>
      <c r="I244" s="564">
        <f>RANK(H244,$H$244:$H$248,0)</f>
        <v>2</v>
      </c>
    </row>
    <row r="245" spans="1:10" x14ac:dyDescent="0.2">
      <c r="A245" s="80" t="s">
        <v>1945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63">
        <f t="shared" ref="H245:H248" si="4">G245/ABS(B245)</f>
        <v>0.46164879448125079</v>
      </c>
      <c r="I245" s="564">
        <f t="shared" ref="I245:I248" si="5">RANK(H245,$H$244:$H$248,0)</f>
        <v>3</v>
      </c>
    </row>
    <row r="246" spans="1:10" x14ac:dyDescent="0.2">
      <c r="A246" s="80" t="s">
        <v>1946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63">
        <f t="shared" si="4"/>
        <v>0.40996744302529409</v>
      </c>
      <c r="I246" s="564">
        <f t="shared" si="5"/>
        <v>4</v>
      </c>
    </row>
    <row r="247" spans="1:10" x14ac:dyDescent="0.2">
      <c r="A247" s="80" t="s">
        <v>1960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63">
        <f t="shared" si="4"/>
        <v>0.80315552216378616</v>
      </c>
      <c r="I247" s="564">
        <f t="shared" si="5"/>
        <v>1</v>
      </c>
    </row>
    <row r="248" spans="1:10" x14ac:dyDescent="0.2">
      <c r="A248" s="80" t="s">
        <v>1961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63">
        <f t="shared" si="4"/>
        <v>0.28406529608633263</v>
      </c>
      <c r="I248" s="564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2069</v>
      </c>
    </row>
    <row r="251" spans="1:10" x14ac:dyDescent="0.2">
      <c r="A251" s="43" t="s">
        <v>2070</v>
      </c>
    </row>
    <row r="252" spans="1:10" x14ac:dyDescent="0.2">
      <c r="A252" s="43" t="s">
        <v>2071</v>
      </c>
    </row>
    <row r="254" spans="1:10" x14ac:dyDescent="0.2">
      <c r="A254" s="44" t="s">
        <v>2444</v>
      </c>
    </row>
    <row r="255" spans="1:10" x14ac:dyDescent="0.2">
      <c r="A255" s="44"/>
    </row>
    <row r="256" spans="1:10" x14ac:dyDescent="0.2">
      <c r="A256" s="43" t="s">
        <v>2445</v>
      </c>
    </row>
    <row r="257" spans="1:8" x14ac:dyDescent="0.2">
      <c r="A257" s="43" t="s">
        <v>2072</v>
      </c>
    </row>
    <row r="258" spans="1:8" x14ac:dyDescent="0.2">
      <c r="A258" s="43" t="s">
        <v>2496</v>
      </c>
    </row>
    <row r="260" spans="1:8" x14ac:dyDescent="0.2">
      <c r="A260" s="80"/>
      <c r="B260" s="80" t="s">
        <v>1959</v>
      </c>
      <c r="C260" s="233" t="s">
        <v>2073</v>
      </c>
      <c r="D260" s="233" t="s">
        <v>2074</v>
      </c>
      <c r="E260" s="233" t="s">
        <v>2075</v>
      </c>
    </row>
    <row r="261" spans="1:8" x14ac:dyDescent="0.2">
      <c r="A261" s="287" t="s">
        <v>1960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1944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1945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1946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2076</v>
      </c>
    </row>
    <row r="265" spans="1:8" s="291" customFormat="1" x14ac:dyDescent="0.2">
      <c r="C265" s="29" t="s">
        <v>2077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2078</v>
      </c>
    </row>
    <row r="269" spans="1:8" x14ac:dyDescent="0.2">
      <c r="A269" s="43" t="s">
        <v>2079</v>
      </c>
    </row>
    <row r="270" spans="1:8" x14ac:dyDescent="0.2">
      <c r="A270" s="43" t="s">
        <v>2080</v>
      </c>
    </row>
    <row r="271" spans="1:8" x14ac:dyDescent="0.2">
      <c r="A271" s="43" t="s">
        <v>2081</v>
      </c>
    </row>
    <row r="273" spans="1:8" x14ac:dyDescent="0.2">
      <c r="A273" s="44" t="s">
        <v>2497</v>
      </c>
    </row>
    <row r="277" spans="1:8" x14ac:dyDescent="0.2">
      <c r="A277" s="44" t="s">
        <v>2082</v>
      </c>
    </row>
    <row r="281" spans="1:8" x14ac:dyDescent="0.2">
      <c r="A281" s="45" t="s">
        <v>1963</v>
      </c>
      <c r="B281" s="45"/>
      <c r="C281" s="45"/>
      <c r="D281" s="45"/>
      <c r="E281" s="45"/>
      <c r="F281" s="45"/>
      <c r="G281" s="45"/>
      <c r="H281" s="45" t="s">
        <v>805</v>
      </c>
    </row>
    <row r="282" spans="1:8" x14ac:dyDescent="0.2">
      <c r="A282" s="43" t="s">
        <v>1964</v>
      </c>
    </row>
    <row r="283" spans="1:8" x14ac:dyDescent="0.2">
      <c r="A283" s="43" t="s">
        <v>1965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1944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1945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2446</v>
      </c>
      <c r="C290" s="553">
        <f>NPV(10%,D285:H285)+C285</f>
        <v>2.629601803155083</v>
      </c>
    </row>
    <row r="291" spans="1:8" x14ac:dyDescent="0.2">
      <c r="A291" s="43" t="s">
        <v>2447</v>
      </c>
      <c r="C291" s="553">
        <f>NPV(10%,D286:H286)+C286</f>
        <v>274.47206164506861</v>
      </c>
    </row>
    <row r="293" spans="1:8" x14ac:dyDescent="0.2">
      <c r="A293" s="43" t="s">
        <v>2448</v>
      </c>
    </row>
    <row r="296" spans="1:8" x14ac:dyDescent="0.2">
      <c r="A296" s="45" t="s">
        <v>1966</v>
      </c>
      <c r="B296" s="45"/>
      <c r="C296" s="45"/>
      <c r="D296" s="45"/>
      <c r="E296" s="45"/>
      <c r="F296" s="45"/>
      <c r="G296" s="45"/>
      <c r="H296" s="45" t="s">
        <v>805</v>
      </c>
    </row>
    <row r="297" spans="1:8" x14ac:dyDescent="0.2">
      <c r="A297" s="43" t="s">
        <v>1967</v>
      </c>
    </row>
    <row r="298" spans="1:8" x14ac:dyDescent="0.2">
      <c r="A298" s="43" t="s">
        <v>1968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1944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1945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2446</v>
      </c>
      <c r="C307" s="553">
        <f>NPV(10%,D302:H302)+C302</f>
        <v>14.443375079943607</v>
      </c>
      <c r="D307" s="43" t="s">
        <v>2449</v>
      </c>
      <c r="E307" s="161">
        <f>IRR(C302:H302)</f>
        <v>0.20761658990335685</v>
      </c>
    </row>
    <row r="308" spans="1:8" x14ac:dyDescent="0.2">
      <c r="A308" s="43" t="s">
        <v>2447</v>
      </c>
      <c r="C308" s="553">
        <f>NPV(10%,D303:H303)+C303</f>
        <v>13.489441232901363</v>
      </c>
      <c r="D308" s="43" t="s">
        <v>2450</v>
      </c>
      <c r="E308" s="161">
        <f>IRR(C303:H303)</f>
        <v>0.25413002038866117</v>
      </c>
    </row>
    <row r="310" spans="1:8" x14ac:dyDescent="0.2">
      <c r="A310" s="43" t="s">
        <v>2451</v>
      </c>
    </row>
    <row r="311" spans="1:8" x14ac:dyDescent="0.2">
      <c r="A311" s="43" t="s">
        <v>2452</v>
      </c>
    </row>
    <row r="315" spans="1:8" x14ac:dyDescent="0.2">
      <c r="A315" s="45" t="s">
        <v>2083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2084</v>
      </c>
    </row>
    <row r="317" spans="1:8" x14ac:dyDescent="0.2">
      <c r="A317" s="43" t="s">
        <v>1969</v>
      </c>
    </row>
    <row r="318" spans="1:8" x14ac:dyDescent="0.2">
      <c r="A318" s="43" t="s">
        <v>1970</v>
      </c>
    </row>
    <row r="319" spans="1:8" x14ac:dyDescent="0.2">
      <c r="B319" s="80"/>
      <c r="C319" s="80" t="s">
        <v>1971</v>
      </c>
      <c r="D319" s="80" t="s">
        <v>1958</v>
      </c>
      <c r="E319" s="80" t="s">
        <v>1959</v>
      </c>
    </row>
    <row r="320" spans="1:8" x14ac:dyDescent="0.2">
      <c r="B320" s="80" t="s">
        <v>1944</v>
      </c>
      <c r="C320" s="186">
        <v>-50000</v>
      </c>
      <c r="D320" s="186">
        <v>35000</v>
      </c>
      <c r="E320" s="80"/>
    </row>
    <row r="321" spans="1:6" x14ac:dyDescent="0.2">
      <c r="B321" s="80" t="s">
        <v>1945</v>
      </c>
      <c r="C321" s="186">
        <v>-150000</v>
      </c>
      <c r="D321" s="186">
        <v>114000</v>
      </c>
      <c r="E321" s="80"/>
    </row>
    <row r="322" spans="1:6" x14ac:dyDescent="0.2">
      <c r="B322" s="80" t="s">
        <v>1946</v>
      </c>
      <c r="C322" s="186">
        <v>-100000</v>
      </c>
      <c r="D322" s="186">
        <v>56000</v>
      </c>
      <c r="E322" s="80"/>
    </row>
    <row r="323" spans="1:6" x14ac:dyDescent="0.2">
      <c r="B323" s="80" t="s">
        <v>1960</v>
      </c>
      <c r="C323" s="186">
        <v>-50000</v>
      </c>
      <c r="D323" s="186">
        <v>155000</v>
      </c>
      <c r="E323" s="80"/>
    </row>
    <row r="324" spans="1:6" x14ac:dyDescent="0.2">
      <c r="B324" s="80" t="s">
        <v>1961</v>
      </c>
      <c r="C324" s="186">
        <v>-30000</v>
      </c>
      <c r="D324" s="186">
        <v>88000</v>
      </c>
      <c r="E324" s="80"/>
    </row>
    <row r="326" spans="1:6" x14ac:dyDescent="0.2">
      <c r="A326" s="43" t="s">
        <v>2458</v>
      </c>
    </row>
    <row r="327" spans="1:6" x14ac:dyDescent="0.2">
      <c r="A327" s="43" t="s">
        <v>2453</v>
      </c>
    </row>
    <row r="328" spans="1:6" x14ac:dyDescent="0.2">
      <c r="A328" s="43" t="s">
        <v>2454</v>
      </c>
    </row>
    <row r="330" spans="1:6" x14ac:dyDescent="0.2">
      <c r="B330" s="80"/>
      <c r="C330" s="80" t="s">
        <v>1971</v>
      </c>
      <c r="D330" s="80" t="s">
        <v>1958</v>
      </c>
      <c r="E330" s="80" t="s">
        <v>1959</v>
      </c>
      <c r="F330" s="80" t="s">
        <v>2455</v>
      </c>
    </row>
    <row r="331" spans="1:6" x14ac:dyDescent="0.2">
      <c r="B331" s="80" t="s">
        <v>1944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1945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1946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1960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1961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2456</v>
      </c>
    </row>
    <row r="338" spans="1:8" x14ac:dyDescent="0.2">
      <c r="A338" s="43" t="s">
        <v>2457</v>
      </c>
    </row>
    <row r="340" spans="1:8" x14ac:dyDescent="0.2">
      <c r="A340" s="80"/>
      <c r="B340" s="80" t="s">
        <v>1959</v>
      </c>
      <c r="C340" s="233" t="s">
        <v>2073</v>
      </c>
      <c r="D340" s="233" t="s">
        <v>2074</v>
      </c>
      <c r="E340" s="233" t="s">
        <v>2075</v>
      </c>
    </row>
    <row r="341" spans="1:8" x14ac:dyDescent="0.2">
      <c r="A341" s="80" t="s">
        <v>1960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1944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1946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2085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2077</v>
      </c>
      <c r="D347" s="29"/>
      <c r="E347" s="299">
        <f>SUM(E341:E345)</f>
        <v>414400</v>
      </c>
    </row>
    <row r="349" spans="1:8" x14ac:dyDescent="0.2">
      <c r="A349" s="45" t="s">
        <v>2459</v>
      </c>
      <c r="B349" s="45"/>
      <c r="C349" s="45"/>
      <c r="D349" s="45"/>
      <c r="E349" s="45"/>
      <c r="F349" s="45"/>
      <c r="G349" s="45"/>
      <c r="H349" s="45" t="s">
        <v>805</v>
      </c>
    </row>
    <row r="350" spans="1:8" x14ac:dyDescent="0.2">
      <c r="A350" s="43" t="s">
        <v>1972</v>
      </c>
    </row>
    <row r="352" spans="1:8" x14ac:dyDescent="0.2">
      <c r="F352" s="47" t="s">
        <v>2486</v>
      </c>
      <c r="G352" s="47" t="s">
        <v>2486</v>
      </c>
      <c r="H352" s="47" t="s">
        <v>2490</v>
      </c>
    </row>
    <row r="353" spans="1:8" x14ac:dyDescent="0.2">
      <c r="F353" s="47" t="s">
        <v>2487</v>
      </c>
      <c r="G353" s="47" t="s">
        <v>2489</v>
      </c>
      <c r="H353" s="47" t="s">
        <v>2073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58" t="s">
        <v>2488</v>
      </c>
      <c r="G354" s="49" t="s">
        <v>1952</v>
      </c>
      <c r="H354" s="49" t="s">
        <v>2491</v>
      </c>
    </row>
    <row r="355" spans="1:8" x14ac:dyDescent="0.2">
      <c r="B355" s="80" t="s">
        <v>1944</v>
      </c>
      <c r="C355" s="80">
        <v>-200</v>
      </c>
      <c r="D355" s="80">
        <v>100</v>
      </c>
      <c r="E355" s="80">
        <v>200</v>
      </c>
      <c r="F355" s="559">
        <f>SUM(C355:E355)</f>
        <v>100</v>
      </c>
      <c r="G355" s="560">
        <f>IRR(C355:E355)</f>
        <v>0.28077640640441492</v>
      </c>
      <c r="H355" s="559">
        <f>C355</f>
        <v>-200</v>
      </c>
    </row>
    <row r="356" spans="1:8" x14ac:dyDescent="0.2">
      <c r="B356" s="80" t="s">
        <v>1945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61">
        <f>IRR(C356:E356)</f>
        <v>0.56619037896242497</v>
      </c>
      <c r="H356" s="121">
        <f>C356</f>
        <v>-100</v>
      </c>
    </row>
    <row r="358" spans="1:8" x14ac:dyDescent="0.2">
      <c r="A358" s="43" t="s">
        <v>1973</v>
      </c>
    </row>
    <row r="371" spans="1:8" x14ac:dyDescent="0.2">
      <c r="A371" s="79" t="s">
        <v>2086</v>
      </c>
    </row>
    <row r="373" spans="1:8" x14ac:dyDescent="0.2">
      <c r="A373" s="302" t="s">
        <v>2087</v>
      </c>
    </row>
    <row r="377" spans="1:8" x14ac:dyDescent="0.2">
      <c r="A377" s="43" t="s">
        <v>2088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2089</v>
      </c>
      <c r="G378" s="81" t="s">
        <v>1952</v>
      </c>
      <c r="H378" s="81" t="s">
        <v>2090</v>
      </c>
    </row>
    <row r="379" spans="1:8" x14ac:dyDescent="0.2">
      <c r="B379" s="301" t="s">
        <v>1944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1945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2089</v>
      </c>
      <c r="B383" s="43" t="s">
        <v>2091</v>
      </c>
    </row>
    <row r="384" spans="1:8" x14ac:dyDescent="0.2">
      <c r="A384" s="43" t="s">
        <v>1952</v>
      </c>
      <c r="B384" s="43" t="s">
        <v>2092</v>
      </c>
    </row>
    <row r="385" spans="1:9" x14ac:dyDescent="0.2">
      <c r="A385" s="43" t="s">
        <v>2090</v>
      </c>
      <c r="B385" s="43" t="s">
        <v>2093</v>
      </c>
    </row>
    <row r="387" spans="1:9" x14ac:dyDescent="0.2">
      <c r="A387" s="44" t="s">
        <v>2492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2094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2460</v>
      </c>
      <c r="B390" s="45"/>
      <c r="C390" s="45"/>
      <c r="D390" s="45"/>
      <c r="E390" s="45"/>
      <c r="F390" s="45"/>
      <c r="G390" s="45"/>
      <c r="H390" s="45" t="s">
        <v>2461</v>
      </c>
    </row>
    <row r="392" spans="1:9" x14ac:dyDescent="0.2">
      <c r="A392" s="43" t="s">
        <v>2462</v>
      </c>
    </row>
    <row r="393" spans="1:9" x14ac:dyDescent="0.2">
      <c r="D393" s="59" t="s">
        <v>2465</v>
      </c>
      <c r="E393" s="59" t="s">
        <v>2466</v>
      </c>
      <c r="F393" s="59" t="s">
        <v>2467</v>
      </c>
      <c r="G393" s="59" t="s">
        <v>2468</v>
      </c>
      <c r="H393" s="59" t="s">
        <v>2469</v>
      </c>
    </row>
    <row r="394" spans="1:9" x14ac:dyDescent="0.2">
      <c r="B394" s="43" t="s">
        <v>2463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2464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326</v>
      </c>
    </row>
    <row r="398" spans="1:9" x14ac:dyDescent="0.2">
      <c r="A398" s="43" t="s">
        <v>2470</v>
      </c>
    </row>
    <row r="399" spans="1:9" x14ac:dyDescent="0.2">
      <c r="A399" s="43" t="s">
        <v>2471</v>
      </c>
    </row>
    <row r="400" spans="1:9" x14ac:dyDescent="0.2">
      <c r="I400" s="43" t="s">
        <v>1958</v>
      </c>
    </row>
    <row r="401" spans="1:7" x14ac:dyDescent="0.2">
      <c r="A401" s="43" t="s">
        <v>111</v>
      </c>
    </row>
    <row r="403" spans="1:7" x14ac:dyDescent="0.2">
      <c r="A403" s="43" t="s">
        <v>2475</v>
      </c>
    </row>
    <row r="405" spans="1:7" x14ac:dyDescent="0.2">
      <c r="D405" s="556" t="s">
        <v>617</v>
      </c>
      <c r="E405" s="59" t="s">
        <v>616</v>
      </c>
      <c r="F405" s="59" t="s">
        <v>2476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54" t="s">
        <v>87</v>
      </c>
    </row>
    <row r="412" spans="1:7" x14ac:dyDescent="0.2">
      <c r="C412" s="43" t="s">
        <v>2474</v>
      </c>
      <c r="D412" s="43">
        <f>D406</f>
        <v>-1000</v>
      </c>
      <c r="E412" s="43">
        <f>E406</f>
        <v>-4000</v>
      </c>
      <c r="F412" s="43">
        <f>F406</f>
        <v>-3000</v>
      </c>
      <c r="G412" s="555" t="s">
        <v>2047</v>
      </c>
    </row>
    <row r="413" spans="1:7" x14ac:dyDescent="0.2">
      <c r="C413" s="43" t="s">
        <v>2472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2473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54" t="s">
        <v>2048</v>
      </c>
    </row>
    <row r="416" spans="1:7" x14ac:dyDescent="0.2">
      <c r="A416" s="43" t="s">
        <v>2477</v>
      </c>
    </row>
    <row r="417" spans="1:1" x14ac:dyDescent="0.2">
      <c r="A417" s="43" t="s">
        <v>2478</v>
      </c>
    </row>
    <row r="418" spans="1:1" x14ac:dyDescent="0.2">
      <c r="A418" s="43" t="s">
        <v>2479</v>
      </c>
    </row>
    <row r="419" spans="1:1" x14ac:dyDescent="0.2">
      <c r="A419" s="43" t="s">
        <v>2480</v>
      </c>
    </row>
    <row r="420" spans="1:1" x14ac:dyDescent="0.2">
      <c r="A420" s="43" t="s">
        <v>2481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2482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1072</v>
      </c>
    </row>
    <row r="4" spans="1:8" s="92" customFormat="1" ht="16" x14ac:dyDescent="0.2">
      <c r="A4" s="92" t="s">
        <v>2095</v>
      </c>
    </row>
    <row r="5" spans="1:8" s="92" customFormat="1" ht="16" x14ac:dyDescent="0.2">
      <c r="A5" s="92" t="s">
        <v>2096</v>
      </c>
    </row>
    <row r="6" spans="1:8" s="92" customFormat="1" ht="16" x14ac:dyDescent="0.2"/>
    <row r="7" spans="1:8" s="92" customFormat="1" ht="16" x14ac:dyDescent="0.2">
      <c r="B7" s="184" t="s">
        <v>570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1985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2097</v>
      </c>
    </row>
    <row r="11" spans="1:8" s="92" customFormat="1" ht="16" x14ac:dyDescent="0.2">
      <c r="A11" s="92" t="s">
        <v>2098</v>
      </c>
    </row>
    <row r="12" spans="1:8" s="92" customFormat="1" ht="16" x14ac:dyDescent="0.2"/>
    <row r="13" spans="1:8" s="92" customFormat="1" ht="16" x14ac:dyDescent="0.2">
      <c r="A13" s="92" t="s">
        <v>2099</v>
      </c>
    </row>
    <row r="14" spans="1:8" s="92" customFormat="1" ht="17" thickBot="1" x14ac:dyDescent="0.25">
      <c r="A14" s="92" t="s">
        <v>2100</v>
      </c>
    </row>
    <row r="15" spans="1:8" s="92" customFormat="1" ht="16" x14ac:dyDescent="0.2">
      <c r="A15" s="92" t="s">
        <v>2101</v>
      </c>
      <c r="C15" s="714" t="s">
        <v>2102</v>
      </c>
      <c r="D15" s="705"/>
      <c r="E15" s="705"/>
      <c r="F15" s="705"/>
      <c r="G15" s="705"/>
      <c r="H15" s="715"/>
    </row>
    <row r="16" spans="1:8" s="92" customFormat="1" ht="17" thickBot="1" x14ac:dyDescent="0.25">
      <c r="A16" s="92" t="s">
        <v>2103</v>
      </c>
      <c r="C16" s="716"/>
      <c r="D16" s="717"/>
      <c r="E16" s="717"/>
      <c r="F16" s="717"/>
      <c r="G16" s="717"/>
      <c r="H16" s="718"/>
    </row>
    <row r="17" spans="1:8" s="92" customFormat="1" ht="16" x14ac:dyDescent="0.2">
      <c r="A17" s="92" t="s">
        <v>2104</v>
      </c>
    </row>
    <row r="18" spans="1:8" s="92" customFormat="1" ht="17" thickBot="1" x14ac:dyDescent="0.25"/>
    <row r="19" spans="1:8" s="92" customFormat="1" ht="16" x14ac:dyDescent="0.2">
      <c r="A19" s="95" t="s">
        <v>2105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2106</v>
      </c>
      <c r="H20" s="99"/>
    </row>
    <row r="21" spans="1:8" s="92" customFormat="1" ht="16" x14ac:dyDescent="0.2">
      <c r="A21" s="98" t="s">
        <v>2107</v>
      </c>
      <c r="H21" s="99"/>
    </row>
    <row r="22" spans="1:8" s="92" customFormat="1" ht="17" thickBot="1" x14ac:dyDescent="0.25">
      <c r="A22" s="100" t="s">
        <v>2108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2109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2110</v>
      </c>
    </row>
    <row r="27" spans="1:8" s="92" customFormat="1" ht="16" x14ac:dyDescent="0.2">
      <c r="A27" s="92" t="s">
        <v>2111</v>
      </c>
    </row>
    <row r="28" spans="1:8" s="92" customFormat="1" ht="16" x14ac:dyDescent="0.2">
      <c r="A28" s="92" t="s">
        <v>2112</v>
      </c>
    </row>
    <row r="29" spans="1:8" s="92" customFormat="1" ht="16" x14ac:dyDescent="0.2">
      <c r="A29" s="92" t="s">
        <v>2113</v>
      </c>
    </row>
    <row r="30" spans="1:8" s="92" customFormat="1" ht="16" x14ac:dyDescent="0.2">
      <c r="A30" s="92" t="s">
        <v>2114</v>
      </c>
    </row>
    <row r="31" spans="1:8" s="92" customFormat="1" ht="16" x14ac:dyDescent="0.2">
      <c r="A31" s="92" t="s">
        <v>2115</v>
      </c>
    </row>
    <row r="32" spans="1:8" s="92" customFormat="1" ht="16" x14ac:dyDescent="0.2">
      <c r="A32" s="92" t="s">
        <v>2116</v>
      </c>
    </row>
    <row r="33" spans="1:7" s="92" customFormat="1" ht="16" x14ac:dyDescent="0.2">
      <c r="A33" s="92" t="s">
        <v>2117</v>
      </c>
    </row>
    <row r="34" spans="1:7" s="92" customFormat="1" ht="16" x14ac:dyDescent="0.2">
      <c r="A34" s="92" t="s">
        <v>2118</v>
      </c>
    </row>
    <row r="35" spans="1:7" s="92" customFormat="1" ht="16" x14ac:dyDescent="0.2">
      <c r="A35" s="92" t="s">
        <v>2119</v>
      </c>
    </row>
    <row r="36" spans="1:7" s="92" customFormat="1" ht="16" x14ac:dyDescent="0.2">
      <c r="A36" s="92" t="s">
        <v>2120</v>
      </c>
    </row>
    <row r="37" spans="1:7" s="92" customFormat="1" ht="16" x14ac:dyDescent="0.2">
      <c r="A37" s="92" t="s">
        <v>2121</v>
      </c>
    </row>
    <row r="38" spans="1:7" s="92" customFormat="1" ht="16" x14ac:dyDescent="0.2">
      <c r="A38" s="92" t="s">
        <v>2122</v>
      </c>
    </row>
    <row r="39" spans="1:7" s="92" customFormat="1" ht="16" x14ac:dyDescent="0.2">
      <c r="A39" s="92" t="s">
        <v>2123</v>
      </c>
    </row>
    <row r="40" spans="1:7" s="92" customFormat="1" ht="16" x14ac:dyDescent="0.2">
      <c r="A40" s="92" t="s">
        <v>2124</v>
      </c>
    </row>
    <row r="41" spans="1:7" s="92" customFormat="1" ht="16" x14ac:dyDescent="0.2"/>
    <row r="42" spans="1:7" s="92" customFormat="1" ht="16" x14ac:dyDescent="0.2">
      <c r="A42" s="93" t="s">
        <v>2125</v>
      </c>
      <c r="B42" s="93"/>
      <c r="C42" s="93"/>
      <c r="D42" s="93"/>
      <c r="E42" s="93"/>
    </row>
    <row r="43" spans="1:7" s="92" customFormat="1" ht="16" x14ac:dyDescent="0.2">
      <c r="A43" s="93" t="s">
        <v>2126</v>
      </c>
    </row>
    <row r="44" spans="1:7" s="92" customFormat="1" ht="16" x14ac:dyDescent="0.2">
      <c r="A44" s="93" t="s">
        <v>2127</v>
      </c>
    </row>
    <row r="45" spans="1:7" s="92" customFormat="1" ht="16" x14ac:dyDescent="0.2"/>
    <row r="46" spans="1:7" s="92" customFormat="1" ht="16" x14ac:dyDescent="0.2">
      <c r="A46" s="253" t="s">
        <v>2128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2129</v>
      </c>
    </row>
    <row r="49" spans="1:7" s="92" customFormat="1" ht="16" x14ac:dyDescent="0.2"/>
    <row r="50" spans="1:7" s="92" customFormat="1" ht="16" x14ac:dyDescent="0.2">
      <c r="A50" s="92" t="s">
        <v>2130</v>
      </c>
      <c r="C50" s="254">
        <v>240000</v>
      </c>
      <c r="D50" s="92" t="s">
        <v>2131</v>
      </c>
    </row>
    <row r="51" spans="1:7" s="92" customFormat="1" ht="16" x14ac:dyDescent="0.2">
      <c r="A51" s="92" t="s">
        <v>2132</v>
      </c>
      <c r="C51" s="304">
        <f>-10000-22000</f>
        <v>-32000</v>
      </c>
      <c r="F51" s="92" t="s">
        <v>2133</v>
      </c>
      <c r="G51" s="92" t="s">
        <v>2134</v>
      </c>
    </row>
    <row r="52" spans="1:7" s="92" customFormat="1" ht="16" x14ac:dyDescent="0.2">
      <c r="A52" s="92" t="s">
        <v>2135</v>
      </c>
      <c r="C52" s="305">
        <v>-200000</v>
      </c>
      <c r="F52" s="92" t="s">
        <v>2136</v>
      </c>
      <c r="G52" s="92" t="s">
        <v>2137</v>
      </c>
    </row>
    <row r="53" spans="1:7" s="92" customFormat="1" ht="16" x14ac:dyDescent="0.2">
      <c r="A53" s="93" t="s">
        <v>2138</v>
      </c>
      <c r="B53" s="93"/>
      <c r="C53" s="306">
        <f>C50+C51+C52</f>
        <v>8000</v>
      </c>
      <c r="F53" s="92" t="s">
        <v>2139</v>
      </c>
    </row>
    <row r="54" spans="1:7" s="92" customFormat="1" ht="17" thickBot="1" x14ac:dyDescent="0.25">
      <c r="A54" s="92" t="s">
        <v>2140</v>
      </c>
      <c r="C54" s="132">
        <v>0.3</v>
      </c>
      <c r="E54" s="92" t="s">
        <v>2141</v>
      </c>
    </row>
    <row r="55" spans="1:7" s="92" customFormat="1" ht="17" thickBot="1" x14ac:dyDescent="0.25">
      <c r="A55" s="92" t="s">
        <v>2142</v>
      </c>
      <c r="C55" s="256">
        <f>C53*C54</f>
        <v>2400</v>
      </c>
      <c r="F55" s="92" t="s">
        <v>2143</v>
      </c>
    </row>
    <row r="56" spans="1:7" s="92" customFormat="1" ht="16" x14ac:dyDescent="0.2"/>
    <row r="57" spans="1:7" s="92" customFormat="1" ht="16" x14ac:dyDescent="0.2">
      <c r="A57" s="93" t="s">
        <v>2144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2145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2146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2147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2148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2149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2150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2151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2152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2153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2154</v>
      </c>
      <c r="B70" s="312"/>
      <c r="C70" s="312"/>
      <c r="D70" s="312"/>
      <c r="E70" s="312"/>
      <c r="F70" s="312" t="s">
        <v>2155</v>
      </c>
      <c r="G70" s="312"/>
    </row>
    <row r="71" spans="1:7" s="92" customFormat="1" ht="16" x14ac:dyDescent="0.2"/>
    <row r="72" spans="1:7" s="92" customFormat="1" ht="16" x14ac:dyDescent="0.2">
      <c r="A72" s="93" t="s">
        <v>2156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2157</v>
      </c>
      <c r="D76" s="110" t="s">
        <v>853</v>
      </c>
      <c r="E76" s="110" t="s">
        <v>570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2158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2159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2160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2161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2162</v>
      </c>
      <c r="D89" s="92" t="s">
        <v>2163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2164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2157</v>
      </c>
      <c r="D99" s="110" t="s">
        <v>2165</v>
      </c>
      <c r="E99" s="110" t="s">
        <v>570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2166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2167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2168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2169</v>
      </c>
    </row>
    <row r="109" spans="1:8" s="92" customFormat="1" ht="16" x14ac:dyDescent="0.2">
      <c r="A109" s="92" t="s">
        <v>2170</v>
      </c>
    </row>
    <row r="110" spans="1:8" s="92" customFormat="1" ht="16" x14ac:dyDescent="0.2">
      <c r="A110" s="92" t="s">
        <v>2171</v>
      </c>
    </row>
    <row r="111" spans="1:8" s="92" customFormat="1" ht="16" x14ac:dyDescent="0.2">
      <c r="A111" s="92" t="s">
        <v>2172</v>
      </c>
    </row>
    <row r="112" spans="1:8" s="92" customFormat="1" ht="16" x14ac:dyDescent="0.2">
      <c r="A112" s="92" t="s">
        <v>2173</v>
      </c>
    </row>
    <row r="113" spans="1:10" s="92" customFormat="1" ht="16" x14ac:dyDescent="0.2">
      <c r="A113" s="92" t="s">
        <v>2174</v>
      </c>
    </row>
    <row r="114" spans="1:10" s="92" customFormat="1" ht="16" x14ac:dyDescent="0.2">
      <c r="A114" s="92" t="s">
        <v>2175</v>
      </c>
    </row>
    <row r="115" spans="1:10" s="92" customFormat="1" ht="16" x14ac:dyDescent="0.2"/>
    <row r="116" spans="1:10" s="92" customFormat="1" ht="16" x14ac:dyDescent="0.2">
      <c r="A116" s="92" t="s">
        <v>2176</v>
      </c>
    </row>
    <row r="117" spans="1:10" s="92" customFormat="1" ht="16" x14ac:dyDescent="0.2">
      <c r="A117" s="92" t="s">
        <v>2177</v>
      </c>
    </row>
    <row r="118" spans="1:10" s="92" customFormat="1" ht="16" x14ac:dyDescent="0.2"/>
    <row r="119" spans="1:10" s="92" customFormat="1" ht="16" x14ac:dyDescent="0.2">
      <c r="A119" s="93" t="s">
        <v>2178</v>
      </c>
    </row>
    <row r="120" spans="1:10" s="92" customFormat="1" ht="16" x14ac:dyDescent="0.2"/>
    <row r="121" spans="1:10" s="92" customFormat="1" ht="16" x14ac:dyDescent="0.2">
      <c r="F121" s="262" t="s">
        <v>2179</v>
      </c>
      <c r="G121" s="262" t="s">
        <v>2180</v>
      </c>
    </row>
    <row r="122" spans="1:10" s="92" customFormat="1" ht="16" x14ac:dyDescent="0.2">
      <c r="A122" s="93" t="s">
        <v>2181</v>
      </c>
      <c r="C122" s="92" t="s">
        <v>2182</v>
      </c>
      <c r="F122" s="105" t="s">
        <v>2183</v>
      </c>
      <c r="G122" s="263">
        <v>320000</v>
      </c>
    </row>
    <row r="123" spans="1:10" s="92" customFormat="1" ht="16" x14ac:dyDescent="0.2">
      <c r="A123" s="93" t="s">
        <v>2184</v>
      </c>
      <c r="C123" s="92" t="s">
        <v>2185</v>
      </c>
      <c r="F123" s="105" t="s">
        <v>2186</v>
      </c>
      <c r="G123" s="264">
        <f>-(75000+60000)</f>
        <v>-135000</v>
      </c>
      <c r="J123" s="92" t="s">
        <v>2187</v>
      </c>
    </row>
    <row r="124" spans="1:10" s="92" customFormat="1" ht="16" x14ac:dyDescent="0.2">
      <c r="A124" s="93" t="s">
        <v>2188</v>
      </c>
      <c r="C124" s="92" t="s">
        <v>2189</v>
      </c>
      <c r="F124" s="105" t="s">
        <v>2186</v>
      </c>
      <c r="G124" s="265">
        <f>-50000</f>
        <v>-50000</v>
      </c>
      <c r="J124" s="92" t="s">
        <v>2190</v>
      </c>
    </row>
    <row r="125" spans="1:10" s="92" customFormat="1" ht="16" x14ac:dyDescent="0.2">
      <c r="A125" s="93" t="s">
        <v>2191</v>
      </c>
      <c r="C125" s="92" t="s">
        <v>2192</v>
      </c>
      <c r="F125" s="105" t="s">
        <v>1258</v>
      </c>
      <c r="G125" s="265">
        <f>SUM(G122:G124)</f>
        <v>135000</v>
      </c>
    </row>
    <row r="126" spans="1:10" s="92" customFormat="1" ht="16" x14ac:dyDescent="0.2">
      <c r="A126" s="93" t="s">
        <v>2193</v>
      </c>
      <c r="C126" s="92" t="s">
        <v>2140</v>
      </c>
      <c r="F126" s="105" t="s">
        <v>2194</v>
      </c>
      <c r="G126" s="266">
        <v>0.3</v>
      </c>
    </row>
    <row r="127" spans="1:10" s="92" customFormat="1" ht="17" thickBot="1" x14ac:dyDescent="0.25">
      <c r="C127" s="92" t="s">
        <v>2195</v>
      </c>
      <c r="F127" s="267" t="s">
        <v>2186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800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2196</v>
      </c>
      <c r="C130" s="317" t="s">
        <v>2145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2197</v>
      </c>
      <c r="C131" s="317" t="s">
        <v>2130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2198</v>
      </c>
      <c r="C132" s="317" t="s">
        <v>2199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2200</v>
      </c>
      <c r="C133" s="318" t="s">
        <v>2195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2201</v>
      </c>
      <c r="C134" s="317" t="s">
        <v>2149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2150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2151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2202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2203</v>
      </c>
      <c r="C139" s="92" t="s">
        <v>2204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2205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853</v>
      </c>
      <c r="G144" s="111" t="s">
        <v>570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2206</v>
      </c>
    </row>
    <row r="153" spans="1:9" s="92" customFormat="1" ht="16" x14ac:dyDescent="0.2"/>
    <row r="154" spans="1:9" s="92" customFormat="1" ht="16" x14ac:dyDescent="0.2">
      <c r="C154" s="93" t="s">
        <v>2207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2208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2209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2210</v>
      </c>
    </row>
    <row r="160" spans="1:9" s="92" customFormat="1" ht="16" x14ac:dyDescent="0.2">
      <c r="A160" s="92" t="s">
        <v>2211</v>
      </c>
    </row>
    <row r="161" spans="1:10" s="92" customFormat="1" ht="16" x14ac:dyDescent="0.2">
      <c r="A161" s="92" t="s">
        <v>2212</v>
      </c>
    </row>
    <row r="162" spans="1:10" s="92" customFormat="1" ht="16" x14ac:dyDescent="0.2">
      <c r="A162" s="92" t="s">
        <v>2213</v>
      </c>
    </row>
    <row r="163" spans="1:10" s="92" customFormat="1" ht="16" x14ac:dyDescent="0.2">
      <c r="A163" s="92" t="s">
        <v>2214</v>
      </c>
    </row>
    <row r="164" spans="1:10" s="92" customFormat="1" ht="16" x14ac:dyDescent="0.2">
      <c r="A164" s="92" t="s">
        <v>2215</v>
      </c>
    </row>
    <row r="165" spans="1:10" s="92" customFormat="1" ht="16" x14ac:dyDescent="0.2">
      <c r="A165" s="92" t="s">
        <v>2216</v>
      </c>
    </row>
    <row r="166" spans="1:10" s="92" customFormat="1" ht="16" x14ac:dyDescent="0.2">
      <c r="A166" s="92" t="s">
        <v>2217</v>
      </c>
    </row>
    <row r="167" spans="1:10" s="92" customFormat="1" ht="16" x14ac:dyDescent="0.2">
      <c r="A167" s="92" t="s">
        <v>2218</v>
      </c>
    </row>
    <row r="168" spans="1:10" s="92" customFormat="1" ht="16" x14ac:dyDescent="0.2"/>
    <row r="169" spans="1:10" s="92" customFormat="1" ht="16" x14ac:dyDescent="0.2">
      <c r="F169" s="262" t="s">
        <v>2179</v>
      </c>
      <c r="G169" s="262" t="s">
        <v>2180</v>
      </c>
    </row>
    <row r="170" spans="1:10" s="92" customFormat="1" ht="16" x14ac:dyDescent="0.2">
      <c r="A170" s="93" t="s">
        <v>2181</v>
      </c>
      <c r="C170" s="92" t="s">
        <v>2182</v>
      </c>
      <c r="F170" s="105" t="s">
        <v>2183</v>
      </c>
      <c r="G170" s="263">
        <v>200000</v>
      </c>
    </row>
    <row r="171" spans="1:10" s="92" customFormat="1" ht="16" x14ac:dyDescent="0.2">
      <c r="A171" s="93" t="s">
        <v>2184</v>
      </c>
      <c r="C171" s="92" t="s">
        <v>2185</v>
      </c>
      <c r="F171" s="105" t="s">
        <v>2186</v>
      </c>
      <c r="G171" s="264">
        <v>-70000</v>
      </c>
    </row>
    <row r="172" spans="1:10" s="92" customFormat="1" ht="16" x14ac:dyDescent="0.2">
      <c r="A172" s="93" t="s">
        <v>2188</v>
      </c>
      <c r="C172" s="92" t="s">
        <v>2189</v>
      </c>
      <c r="F172" s="105" t="s">
        <v>2186</v>
      </c>
      <c r="G172" s="265">
        <f>-500000/4</f>
        <v>-125000</v>
      </c>
      <c r="J172" s="92" t="s">
        <v>2219</v>
      </c>
    </row>
    <row r="173" spans="1:10" s="92" customFormat="1" ht="17" thickBot="1" x14ac:dyDescent="0.25">
      <c r="A173" s="93" t="s">
        <v>2191</v>
      </c>
      <c r="C173" s="92" t="s">
        <v>2192</v>
      </c>
      <c r="F173" s="105" t="s">
        <v>1258</v>
      </c>
      <c r="G173" s="278">
        <f>SUM(G170:G172)</f>
        <v>5000</v>
      </c>
    </row>
    <row r="174" spans="1:10" s="92" customFormat="1" ht="16" x14ac:dyDescent="0.2">
      <c r="A174" s="93" t="s">
        <v>2193</v>
      </c>
      <c r="C174" s="92" t="s">
        <v>2140</v>
      </c>
      <c r="F174" s="105" t="s">
        <v>2194</v>
      </c>
      <c r="G174" s="266">
        <v>0.3</v>
      </c>
    </row>
    <row r="175" spans="1:10" s="92" customFormat="1" ht="17" thickBot="1" x14ac:dyDescent="0.25">
      <c r="C175" s="92" t="s">
        <v>2195</v>
      </c>
      <c r="F175" s="267" t="s">
        <v>2186</v>
      </c>
      <c r="G175" s="268">
        <f>-G173*G174</f>
        <v>-1500</v>
      </c>
      <c r="J175" s="92" t="s">
        <v>2220</v>
      </c>
    </row>
    <row r="176" spans="1:10" s="92" customFormat="1" ht="16" x14ac:dyDescent="0.2"/>
    <row r="177" spans="1:9" s="92" customFormat="1" ht="16" x14ac:dyDescent="0.2">
      <c r="A177" s="93" t="s">
        <v>800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2196</v>
      </c>
      <c r="C178" s="184" t="s">
        <v>2145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2197</v>
      </c>
      <c r="C179" s="184" t="s">
        <v>2130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2198</v>
      </c>
      <c r="C180" s="184" t="s">
        <v>2199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2200</v>
      </c>
      <c r="C181" s="273" t="s">
        <v>2195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2201</v>
      </c>
      <c r="C182" s="184" t="s">
        <v>2149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2150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2151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2202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2203</v>
      </c>
      <c r="C187" s="92" t="s">
        <v>2204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2205</v>
      </c>
      <c r="I190" s="92" t="s">
        <v>2221</v>
      </c>
    </row>
    <row r="191" spans="1:9" s="92" customFormat="1" ht="16" x14ac:dyDescent="0.2"/>
    <row r="192" spans="1:9" s="92" customFormat="1" ht="16" x14ac:dyDescent="0.2">
      <c r="F192" s="105" t="s">
        <v>2165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2222</v>
      </c>
      <c r="H199" s="285">
        <f>NPV(10%,F194:F198)+F193</f>
        <v>-78959.429000751348</v>
      </c>
      <c r="I199" s="92" t="s">
        <v>2206</v>
      </c>
    </row>
    <row r="200" spans="1:9" s="92" customFormat="1" ht="16" x14ac:dyDescent="0.2"/>
    <row r="201" spans="1:9" s="92" customFormat="1" ht="16" x14ac:dyDescent="0.2">
      <c r="C201" s="92" t="s">
        <v>2223</v>
      </c>
    </row>
    <row r="202" spans="1:9" s="92" customFormat="1" ht="16" x14ac:dyDescent="0.2"/>
    <row r="203" spans="1:9" s="92" customFormat="1" ht="16" x14ac:dyDescent="0.2">
      <c r="A203" s="252" t="s">
        <v>2224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2225</v>
      </c>
    </row>
    <row r="206" spans="1:9" s="92" customFormat="1" ht="16" x14ac:dyDescent="0.2">
      <c r="A206" s="92" t="s">
        <v>2226</v>
      </c>
    </row>
    <row r="207" spans="1:9" s="92" customFormat="1" ht="16" x14ac:dyDescent="0.2">
      <c r="A207" s="93" t="s">
        <v>2227</v>
      </c>
      <c r="B207" s="93"/>
    </row>
    <row r="208" spans="1:9" s="92" customFormat="1" ht="16" x14ac:dyDescent="0.2">
      <c r="A208" s="93" t="s">
        <v>2228</v>
      </c>
      <c r="B208" s="93"/>
    </row>
    <row r="209" spans="1:10" s="92" customFormat="1" ht="16" x14ac:dyDescent="0.2">
      <c r="A209" s="93" t="s">
        <v>2229</v>
      </c>
    </row>
    <row r="210" spans="1:10" s="92" customFormat="1" ht="16" x14ac:dyDescent="0.2">
      <c r="A210" s="93" t="s">
        <v>2230</v>
      </c>
    </row>
    <row r="211" spans="1:10" s="92" customFormat="1" ht="16" x14ac:dyDescent="0.2">
      <c r="A211" s="93" t="s">
        <v>2231</v>
      </c>
    </row>
    <row r="212" spans="1:10" s="92" customFormat="1" ht="16" x14ac:dyDescent="0.2">
      <c r="A212" s="93" t="s">
        <v>2232</v>
      </c>
    </row>
    <row r="213" spans="1:10" s="92" customFormat="1" ht="16" x14ac:dyDescent="0.2">
      <c r="A213" s="93" t="s">
        <v>2233</v>
      </c>
    </row>
    <row r="214" spans="1:10" s="92" customFormat="1" ht="16" x14ac:dyDescent="0.2">
      <c r="A214" s="93" t="s">
        <v>2234</v>
      </c>
    </row>
    <row r="215" spans="1:10" s="92" customFormat="1" ht="16" x14ac:dyDescent="0.2">
      <c r="A215" s="93" t="s">
        <v>2235</v>
      </c>
    </row>
    <row r="216" spans="1:10" s="92" customFormat="1" ht="16" x14ac:dyDescent="0.2">
      <c r="A216" s="92" t="s">
        <v>2236</v>
      </c>
    </row>
    <row r="217" spans="1:10" s="92" customFormat="1" ht="16" x14ac:dyDescent="0.2">
      <c r="A217" s="92" t="s">
        <v>2237</v>
      </c>
    </row>
    <row r="218" spans="1:10" s="92" customFormat="1" ht="16" x14ac:dyDescent="0.2"/>
    <row r="219" spans="1:10" s="92" customFormat="1" ht="16" x14ac:dyDescent="0.2">
      <c r="A219" s="92" t="s">
        <v>2238</v>
      </c>
    </row>
    <row r="220" spans="1:10" s="92" customFormat="1" ht="16" x14ac:dyDescent="0.2"/>
    <row r="221" spans="1:10" s="92" customFormat="1" ht="16" x14ac:dyDescent="0.2">
      <c r="F221" s="262" t="s">
        <v>2179</v>
      </c>
      <c r="G221" s="262" t="s">
        <v>2180</v>
      </c>
    </row>
    <row r="222" spans="1:10" s="92" customFormat="1" ht="16" x14ac:dyDescent="0.2">
      <c r="A222" s="93" t="s">
        <v>2181</v>
      </c>
      <c r="C222" s="92" t="s">
        <v>2182</v>
      </c>
      <c r="F222" s="105" t="s">
        <v>2183</v>
      </c>
      <c r="G222" s="263">
        <v>188000</v>
      </c>
    </row>
    <row r="223" spans="1:10" s="92" customFormat="1" ht="16" x14ac:dyDescent="0.2">
      <c r="A223" s="93" t="s">
        <v>2184</v>
      </c>
      <c r="C223" s="92" t="s">
        <v>2185</v>
      </c>
      <c r="F223" s="105" t="s">
        <v>2186</v>
      </c>
      <c r="G223" s="264">
        <f>-40000-37000-20000</f>
        <v>-97000</v>
      </c>
      <c r="J223" s="92" t="s">
        <v>2239</v>
      </c>
    </row>
    <row r="224" spans="1:10" s="92" customFormat="1" ht="16" x14ac:dyDescent="0.2">
      <c r="A224" s="93" t="s">
        <v>2188</v>
      </c>
      <c r="C224" s="92" t="s">
        <v>2189</v>
      </c>
      <c r="F224" s="105" t="s">
        <v>2186</v>
      </c>
      <c r="G224" s="265">
        <f>-300000/4</f>
        <v>-75000</v>
      </c>
      <c r="J224" s="92" t="s">
        <v>2240</v>
      </c>
    </row>
    <row r="225" spans="1:9" s="92" customFormat="1" ht="17" thickBot="1" x14ac:dyDescent="0.25">
      <c r="A225" s="93" t="s">
        <v>2191</v>
      </c>
      <c r="C225" s="92" t="s">
        <v>2192</v>
      </c>
      <c r="F225" s="105" t="s">
        <v>1258</v>
      </c>
      <c r="G225" s="278">
        <f>SUM(G222:G224)</f>
        <v>16000</v>
      </c>
    </row>
    <row r="226" spans="1:9" s="92" customFormat="1" ht="16" x14ac:dyDescent="0.2">
      <c r="A226" s="93" t="s">
        <v>2193</v>
      </c>
      <c r="C226" s="92" t="s">
        <v>2140</v>
      </c>
      <c r="F226" s="105" t="s">
        <v>2194</v>
      </c>
      <c r="G226" s="266">
        <v>0.3</v>
      </c>
    </row>
    <row r="227" spans="1:9" s="92" customFormat="1" ht="17" thickBot="1" x14ac:dyDescent="0.25">
      <c r="C227" s="92" t="s">
        <v>2195</v>
      </c>
      <c r="F227" s="267" t="s">
        <v>2186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800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2196</v>
      </c>
      <c r="C230" s="184" t="s">
        <v>2145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2197</v>
      </c>
      <c r="C231" s="184" t="s">
        <v>2130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2198</v>
      </c>
      <c r="C232" s="184" t="s">
        <v>2199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2200</v>
      </c>
      <c r="C233" s="273" t="s">
        <v>2195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2201</v>
      </c>
      <c r="C234" s="184" t="s">
        <v>2149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2150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2151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2202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2203</v>
      </c>
      <c r="C239" s="92" t="s">
        <v>2204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2205</v>
      </c>
    </row>
    <row r="243" spans="1:9" s="92" customFormat="1" ht="16" x14ac:dyDescent="0.2"/>
    <row r="244" spans="1:9" s="92" customFormat="1" ht="16" x14ac:dyDescent="0.2">
      <c r="F244" s="105" t="s">
        <v>2165</v>
      </c>
      <c r="I244" s="92" t="s">
        <v>2241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2222</v>
      </c>
      <c r="H251" s="285">
        <f>NPV(8%,F246:F249)+F245</f>
        <v>-11728.50796231383</v>
      </c>
      <c r="I251" s="92" t="s">
        <v>2206</v>
      </c>
    </row>
    <row r="252" spans="1:9" s="92" customFormat="1" ht="16" x14ac:dyDescent="0.2"/>
    <row r="253" spans="1:9" s="92" customFormat="1" ht="16" x14ac:dyDescent="0.2">
      <c r="C253" s="92" t="s">
        <v>2223</v>
      </c>
    </row>
    <row r="254" spans="1:9" s="92" customFormat="1" ht="16" x14ac:dyDescent="0.2"/>
    <row r="255" spans="1:9" s="92" customFormat="1" ht="16" x14ac:dyDescent="0.2">
      <c r="A255" s="252" t="s">
        <v>2242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2243</v>
      </c>
    </row>
    <row r="257" spans="1:10" s="92" customFormat="1" ht="16" x14ac:dyDescent="0.2">
      <c r="A257" s="92" t="s">
        <v>2244</v>
      </c>
    </row>
    <row r="258" spans="1:10" s="92" customFormat="1" ht="16" x14ac:dyDescent="0.2">
      <c r="A258" s="92" t="s">
        <v>2245</v>
      </c>
    </row>
    <row r="259" spans="1:10" s="92" customFormat="1" ht="16" x14ac:dyDescent="0.2">
      <c r="A259" s="92" t="s">
        <v>2246</v>
      </c>
    </row>
    <row r="260" spans="1:10" s="92" customFormat="1" ht="16" x14ac:dyDescent="0.2">
      <c r="A260" s="92" t="s">
        <v>2247</v>
      </c>
    </row>
    <row r="261" spans="1:10" s="92" customFormat="1" ht="16" x14ac:dyDescent="0.2">
      <c r="A261" s="92" t="s">
        <v>2248</v>
      </c>
    </row>
    <row r="262" spans="1:10" s="92" customFormat="1" ht="16" x14ac:dyDescent="0.2">
      <c r="A262" s="92" t="s">
        <v>2249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2250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2251</v>
      </c>
    </row>
    <row r="265" spans="1:10" s="92" customFormat="1" ht="16" x14ac:dyDescent="0.2">
      <c r="A265" s="92" t="s">
        <v>2252</v>
      </c>
    </row>
    <row r="266" spans="1:10" s="92" customFormat="1" ht="16" x14ac:dyDescent="0.2"/>
    <row r="267" spans="1:10" s="92" customFormat="1" ht="16" x14ac:dyDescent="0.2">
      <c r="A267" s="92" t="s">
        <v>326</v>
      </c>
    </row>
    <row r="268" spans="1:10" s="92" customFormat="1" ht="16" x14ac:dyDescent="0.2">
      <c r="A268" s="92" t="s">
        <v>2253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2179</v>
      </c>
      <c r="G271" s="262" t="s">
        <v>2254</v>
      </c>
      <c r="H271" s="262" t="s">
        <v>2255</v>
      </c>
      <c r="I271" s="262" t="s">
        <v>2256</v>
      </c>
      <c r="J271" s="262" t="s">
        <v>2257</v>
      </c>
    </row>
    <row r="272" spans="1:10" s="92" customFormat="1" ht="16" x14ac:dyDescent="0.2">
      <c r="A272" s="93" t="s">
        <v>2181</v>
      </c>
      <c r="C272" s="92" t="s">
        <v>2182</v>
      </c>
      <c r="F272" s="105" t="s">
        <v>2183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2184</v>
      </c>
      <c r="C273" s="92" t="s">
        <v>2185</v>
      </c>
      <c r="F273" s="105" t="s">
        <v>2186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2188</v>
      </c>
      <c r="C274" s="92" t="s">
        <v>2189</v>
      </c>
      <c r="F274" s="105" t="s">
        <v>2186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2191</v>
      </c>
      <c r="C275" s="92" t="s">
        <v>2192</v>
      </c>
      <c r="F275" s="105" t="s">
        <v>1258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2193</v>
      </c>
      <c r="C276" s="92" t="s">
        <v>2140</v>
      </c>
      <c r="F276" s="105" t="s">
        <v>2194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2195</v>
      </c>
      <c r="F277" s="267" t="s">
        <v>2186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800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2196</v>
      </c>
      <c r="C280" s="184" t="s">
        <v>2145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2197</v>
      </c>
      <c r="C281" s="184" t="s">
        <v>2130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2198</v>
      </c>
      <c r="C282" s="184" t="s">
        <v>2199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2200</v>
      </c>
      <c r="C283" s="184" t="s">
        <v>2148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2201</v>
      </c>
      <c r="C284" s="184" t="s">
        <v>2149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2150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2151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2202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2203</v>
      </c>
      <c r="C289" s="92" t="s">
        <v>2204</v>
      </c>
    </row>
    <row r="290" spans="1:9" s="92" customFormat="1" ht="16" x14ac:dyDescent="0.2"/>
    <row r="291" spans="1:9" s="92" customFormat="1" ht="16" x14ac:dyDescent="0.2">
      <c r="I291" s="92" t="s">
        <v>2258</v>
      </c>
    </row>
    <row r="292" spans="1:9" s="92" customFormat="1" ht="16" x14ac:dyDescent="0.2">
      <c r="D292" s="92" t="s">
        <v>2205</v>
      </c>
      <c r="I292" s="92" t="s">
        <v>2221</v>
      </c>
    </row>
    <row r="293" spans="1:9" s="92" customFormat="1" ht="16" x14ac:dyDescent="0.2"/>
    <row r="294" spans="1:9" s="92" customFormat="1" ht="16" x14ac:dyDescent="0.2">
      <c r="F294" s="105" t="s">
        <v>2165</v>
      </c>
      <c r="I294" s="92" t="s">
        <v>2241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2222</v>
      </c>
      <c r="H301" s="285">
        <f>NPV(10%,F296:F299)+F295</f>
        <v>-34227.819138037157</v>
      </c>
      <c r="I301" s="92" t="s">
        <v>2206</v>
      </c>
    </row>
    <row r="302" spans="1:9" s="92" customFormat="1" ht="16" x14ac:dyDescent="0.2"/>
    <row r="303" spans="1:9" s="92" customFormat="1" ht="16" x14ac:dyDescent="0.2">
      <c r="D303" s="92" t="s">
        <v>2259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2260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2261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2262</v>
      </c>
      <c r="H3" s="217"/>
    </row>
    <row r="4" spans="1:8" x14ac:dyDescent="0.2">
      <c r="A4" s="323" t="s">
        <v>2263</v>
      </c>
      <c r="H4" s="217"/>
    </row>
    <row r="5" spans="1:8" x14ac:dyDescent="0.2">
      <c r="A5" s="323" t="s">
        <v>2264</v>
      </c>
      <c r="H5" s="217"/>
    </row>
    <row r="6" spans="1:8" x14ac:dyDescent="0.2">
      <c r="A6" s="323" t="s">
        <v>2265</v>
      </c>
      <c r="H6" s="217"/>
    </row>
    <row r="7" spans="1:8" ht="16" thickBot="1" x14ac:dyDescent="0.25">
      <c r="A7" s="236" t="s">
        <v>2266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2267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2502</v>
      </c>
      <c r="H10" s="217"/>
    </row>
    <row r="11" spans="1:8" x14ac:dyDescent="0.2">
      <c r="A11" s="323" t="s">
        <v>2268</v>
      </c>
      <c r="H11" s="217"/>
    </row>
    <row r="12" spans="1:8" x14ac:dyDescent="0.2">
      <c r="A12" s="323"/>
      <c r="H12" s="217"/>
    </row>
    <row r="13" spans="1:8" x14ac:dyDescent="0.2">
      <c r="A13" s="323" t="s">
        <v>2500</v>
      </c>
      <c r="H13" s="217"/>
    </row>
    <row r="14" spans="1:8" x14ac:dyDescent="0.2">
      <c r="A14" s="216" t="s">
        <v>2499</v>
      </c>
      <c r="H14" s="217"/>
    </row>
    <row r="15" spans="1:8" x14ac:dyDescent="0.2">
      <c r="A15" s="323" t="s">
        <v>2501</v>
      </c>
      <c r="H15" s="217"/>
    </row>
    <row r="16" spans="1:8" ht="16" thickBot="1" x14ac:dyDescent="0.25">
      <c r="A16" s="236" t="s">
        <v>2503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2269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2270</v>
      </c>
      <c r="H19" s="217"/>
    </row>
    <row r="20" spans="1:13" x14ac:dyDescent="0.2">
      <c r="A20" s="323" t="s">
        <v>2271</v>
      </c>
      <c r="H20" s="217"/>
    </row>
    <row r="21" spans="1:13" x14ac:dyDescent="0.2">
      <c r="A21" s="323" t="s">
        <v>2272</v>
      </c>
      <c r="H21" s="217"/>
    </row>
    <row r="22" spans="1:13" ht="16" thickBot="1" x14ac:dyDescent="0.25">
      <c r="A22" s="236" t="s">
        <v>2498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2273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2507</v>
      </c>
    </row>
    <row r="28" spans="1:13" x14ac:dyDescent="0.2">
      <c r="J28" s="43" t="s">
        <v>2508</v>
      </c>
    </row>
    <row r="29" spans="1:13" x14ac:dyDescent="0.2">
      <c r="J29" s="565" t="s">
        <v>2506</v>
      </c>
      <c r="K29" s="565" t="s">
        <v>2505</v>
      </c>
      <c r="L29" s="565" t="s">
        <v>2504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68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69">
        <f>FV(J30,J31,J33,J32,J35)</f>
        <v>12941.161642125811</v>
      </c>
      <c r="K34" s="568">
        <f>FV(K30,K31,K33,K32,K35)</f>
        <v>3277.5541099517886</v>
      </c>
      <c r="L34" s="567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333</v>
      </c>
    </row>
    <row r="48" spans="1:13" x14ac:dyDescent="0.2">
      <c r="A48" s="325" t="s">
        <v>2274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2275</v>
      </c>
    </row>
    <row r="50" spans="1:1" x14ac:dyDescent="0.2">
      <c r="A50" s="43" t="s">
        <v>2276</v>
      </c>
    </row>
    <row r="51" spans="1:1" x14ac:dyDescent="0.2">
      <c r="A51" s="43" t="s">
        <v>2277</v>
      </c>
    </row>
    <row r="52" spans="1:1" x14ac:dyDescent="0.2">
      <c r="A52" s="43" t="s">
        <v>2278</v>
      </c>
    </row>
    <row r="53" spans="1:1" x14ac:dyDescent="0.2">
      <c r="A53" s="43" t="s">
        <v>2279</v>
      </c>
    </row>
    <row r="54" spans="1:1" x14ac:dyDescent="0.2">
      <c r="A54" s="43" t="s">
        <v>2280</v>
      </c>
    </row>
    <row r="56" spans="1:1" x14ac:dyDescent="0.2">
      <c r="A56" s="43" t="s">
        <v>2281</v>
      </c>
    </row>
    <row r="57" spans="1:1" x14ac:dyDescent="0.2">
      <c r="A57" s="43" t="s">
        <v>2282</v>
      </c>
    </row>
    <row r="58" spans="1:1" x14ac:dyDescent="0.2">
      <c r="A58" s="43" t="s">
        <v>2283</v>
      </c>
    </row>
    <row r="59" spans="1:1" x14ac:dyDescent="0.2">
      <c r="A59" s="43" t="s">
        <v>2284</v>
      </c>
    </row>
    <row r="61" spans="1:1" x14ac:dyDescent="0.2">
      <c r="A61" s="43" t="s">
        <v>2285</v>
      </c>
    </row>
    <row r="62" spans="1:1" x14ac:dyDescent="0.2">
      <c r="A62" s="43" t="s">
        <v>2286</v>
      </c>
    </row>
    <row r="63" spans="1:1" x14ac:dyDescent="0.2">
      <c r="A63" s="43" t="s">
        <v>2287</v>
      </c>
    </row>
    <row r="65" spans="1:8" x14ac:dyDescent="0.2">
      <c r="C65" s="59" t="s">
        <v>2288</v>
      </c>
      <c r="D65" s="59" t="s">
        <v>2289</v>
      </c>
      <c r="E65" s="59" t="s">
        <v>2290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333</v>
      </c>
    </row>
    <row r="73" spans="1:8" x14ac:dyDescent="0.2">
      <c r="A73" s="325" t="s">
        <v>2292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617</v>
      </c>
      <c r="J82" s="570">
        <v>1000000</v>
      </c>
    </row>
    <row r="83" spans="9:18" x14ac:dyDescent="0.2">
      <c r="I83" s="43" t="s">
        <v>616</v>
      </c>
      <c r="K83" s="47"/>
    </row>
    <row r="84" spans="9:18" x14ac:dyDescent="0.2">
      <c r="J84" s="47">
        <v>0</v>
      </c>
      <c r="K84" s="571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71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71">
        <v>0</v>
      </c>
      <c r="R86" s="92"/>
    </row>
    <row r="87" spans="9:18" ht="16" x14ac:dyDescent="0.2">
      <c r="J87" s="47">
        <f t="shared" ref="J87:J95" si="1">J86+1</f>
        <v>3</v>
      </c>
      <c r="K87" s="571">
        <v>150000</v>
      </c>
      <c r="R87" s="92"/>
    </row>
    <row r="88" spans="9:18" ht="16" x14ac:dyDescent="0.2">
      <c r="J88" s="47">
        <f t="shared" si="1"/>
        <v>4</v>
      </c>
      <c r="K88" s="571">
        <v>0</v>
      </c>
      <c r="R88" s="92"/>
    </row>
    <row r="89" spans="9:18" ht="16" x14ac:dyDescent="0.2">
      <c r="J89" s="47">
        <f t="shared" si="1"/>
        <v>5</v>
      </c>
      <c r="K89" s="571">
        <v>0</v>
      </c>
      <c r="R89" s="92"/>
    </row>
    <row r="90" spans="9:18" ht="16" x14ac:dyDescent="0.2">
      <c r="J90" s="47">
        <f t="shared" si="1"/>
        <v>6</v>
      </c>
      <c r="K90" s="571">
        <v>0</v>
      </c>
      <c r="R90" s="92"/>
    </row>
    <row r="91" spans="9:18" x14ac:dyDescent="0.2">
      <c r="J91" s="47">
        <f t="shared" si="1"/>
        <v>7</v>
      </c>
      <c r="K91" s="571">
        <v>0</v>
      </c>
    </row>
    <row r="92" spans="9:18" x14ac:dyDescent="0.2">
      <c r="J92" s="47">
        <f t="shared" si="1"/>
        <v>8</v>
      </c>
      <c r="K92" s="571">
        <v>0</v>
      </c>
    </row>
    <row r="93" spans="9:18" x14ac:dyDescent="0.2">
      <c r="J93" s="47">
        <f>J92+1</f>
        <v>9</v>
      </c>
      <c r="K93" s="571">
        <v>350000</v>
      </c>
    </row>
    <row r="94" spans="9:18" x14ac:dyDescent="0.2">
      <c r="J94" s="47">
        <f t="shared" si="1"/>
        <v>10</v>
      </c>
      <c r="K94" s="571">
        <v>0</v>
      </c>
    </row>
    <row r="95" spans="9:18" x14ac:dyDescent="0.2">
      <c r="J95" s="47">
        <f t="shared" si="1"/>
        <v>11</v>
      </c>
      <c r="K95" s="571">
        <v>0</v>
      </c>
    </row>
    <row r="96" spans="9:18" x14ac:dyDescent="0.2">
      <c r="J96" s="47">
        <f>J95+1</f>
        <v>12</v>
      </c>
      <c r="K96" s="571">
        <v>400000</v>
      </c>
    </row>
    <row r="98" spans="1:12" x14ac:dyDescent="0.2">
      <c r="J98" s="47" t="s">
        <v>87</v>
      </c>
      <c r="K98" s="566">
        <f>(1+6.168%)^(1/12)-1</f>
        <v>5.0001726099697663E-3</v>
      </c>
    </row>
    <row r="100" spans="1:12" x14ac:dyDescent="0.2">
      <c r="K100" s="571">
        <f>NPV(K98,K85:K96)+K84</f>
        <v>1009169.7179833071</v>
      </c>
      <c r="L100" s="43" t="s">
        <v>1989</v>
      </c>
    </row>
    <row r="102" spans="1:12" ht="16" x14ac:dyDescent="0.2">
      <c r="I102" s="47" t="s">
        <v>1418</v>
      </c>
      <c r="K102" s="572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2293</v>
      </c>
      <c r="B104" s="325"/>
      <c r="C104" s="325"/>
      <c r="D104" s="325"/>
      <c r="E104" s="325"/>
      <c r="F104" s="325"/>
      <c r="G104" s="325"/>
      <c r="H104" s="325"/>
      <c r="K104" s="573">
        <f>PV(K102,K103,K105,K106)</f>
        <v>1036093.7382262076</v>
      </c>
      <c r="L104" s="92" t="s">
        <v>281</v>
      </c>
    </row>
    <row r="105" spans="1:12" ht="16" x14ac:dyDescent="0.2">
      <c r="A105" s="74" t="s">
        <v>2294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2295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2296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333</v>
      </c>
    </row>
    <row r="108" spans="1:12" x14ac:dyDescent="0.2">
      <c r="A108" s="74" t="s">
        <v>2297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2298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2299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1418</v>
      </c>
      <c r="C113" s="329" t="s">
        <v>616</v>
      </c>
      <c r="D113" s="328" t="s">
        <v>617</v>
      </c>
      <c r="E113" s="60" t="s">
        <v>2300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2301</v>
      </c>
    </row>
    <row r="129" spans="1:12" x14ac:dyDescent="0.2">
      <c r="B129" s="47" t="s">
        <v>2302</v>
      </c>
      <c r="C129" s="47" t="s">
        <v>2303</v>
      </c>
      <c r="D129" s="47" t="s">
        <v>2304</v>
      </c>
    </row>
    <row r="130" spans="1:12" x14ac:dyDescent="0.2">
      <c r="B130" s="47" t="s">
        <v>2305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2306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2307</v>
      </c>
      <c r="B134" s="47"/>
      <c r="E134" s="161">
        <v>5.0000000000000001E-3</v>
      </c>
      <c r="G134" s="43" t="s">
        <v>2308</v>
      </c>
    </row>
    <row r="135" spans="1:12" x14ac:dyDescent="0.2">
      <c r="A135" s="74"/>
      <c r="B135" s="47"/>
    </row>
    <row r="136" spans="1:12" x14ac:dyDescent="0.2">
      <c r="A136" s="325" t="s">
        <v>2309</v>
      </c>
      <c r="B136" s="325"/>
      <c r="C136" s="325"/>
      <c r="D136" s="325"/>
      <c r="E136" s="325"/>
      <c r="F136" s="325"/>
      <c r="G136" s="325"/>
      <c r="H136" s="325"/>
      <c r="J136" s="577" t="s">
        <v>2539</v>
      </c>
      <c r="K136" s="577"/>
      <c r="L136" s="577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75">
        <f>NPV(U148,U150:U166)*(1+12.69%)^(1/12)</f>
        <v>285005.14977651188</v>
      </c>
      <c r="V147" s="43" t="s">
        <v>752</v>
      </c>
      <c r="W147" s="576" t="s">
        <v>2530</v>
      </c>
      <c r="X147" s="576"/>
      <c r="AB147" s="59" t="s">
        <v>2527</v>
      </c>
      <c r="AC147" s="59"/>
    </row>
    <row r="148" spans="1:29" ht="16" x14ac:dyDescent="0.2">
      <c r="S148" s="291" t="s">
        <v>2511</v>
      </c>
      <c r="U148" s="291">
        <f>(1+12.69%)^(2/12)-1</f>
        <v>2.0111311227025475E-2</v>
      </c>
      <c r="V148" s="291"/>
      <c r="AB148" s="572">
        <f>U148</f>
        <v>2.0111311227025475E-2</v>
      </c>
      <c r="AC148" s="92" t="s">
        <v>87</v>
      </c>
    </row>
    <row r="149" spans="1:29" ht="16" x14ac:dyDescent="0.2">
      <c r="S149" s="43" t="s">
        <v>1179</v>
      </c>
      <c r="T149" s="29">
        <v>1.4</v>
      </c>
      <c r="U149" s="29"/>
      <c r="V149" s="291"/>
      <c r="W149" s="43" t="s">
        <v>2512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50"/>
      <c r="W150" s="43" t="s">
        <v>2513</v>
      </c>
      <c r="AB150" s="573">
        <f>PV(AB148,AB149,AB151,AB152)</f>
        <v>-285571.67567212071</v>
      </c>
      <c r="AC150" s="92" t="s">
        <v>281</v>
      </c>
    </row>
    <row r="151" spans="1:29" ht="16" x14ac:dyDescent="0.2">
      <c r="A151" s="325" t="s">
        <v>2310</v>
      </c>
      <c r="B151" s="325"/>
      <c r="C151" s="325"/>
      <c r="D151" s="325"/>
      <c r="E151" s="325"/>
      <c r="F151" s="325"/>
      <c r="G151" s="325"/>
      <c r="H151" s="325"/>
      <c r="S151" s="554" t="s">
        <v>2510</v>
      </c>
      <c r="T151" s="29">
        <v>30.6</v>
      </c>
      <c r="U151" s="29">
        <v>20000</v>
      </c>
      <c r="V151" s="450"/>
      <c r="W151" s="43" t="s">
        <v>2514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50"/>
      <c r="W152" s="43" t="s">
        <v>2515</v>
      </c>
      <c r="AB152" s="47">
        <v>0</v>
      </c>
      <c r="AC152" s="92" t="s">
        <v>105</v>
      </c>
    </row>
    <row r="153" spans="1:29" ht="16" x14ac:dyDescent="0.2">
      <c r="A153" s="43" t="s">
        <v>2311</v>
      </c>
      <c r="S153" s="47"/>
      <c r="T153" s="574" t="s">
        <v>2509</v>
      </c>
      <c r="U153" s="29">
        <v>20000</v>
      </c>
      <c r="V153" s="450"/>
      <c r="W153" s="43" t="s">
        <v>2516</v>
      </c>
      <c r="AB153" s="47">
        <v>0</v>
      </c>
      <c r="AC153" s="92" t="s">
        <v>333</v>
      </c>
    </row>
    <row r="154" spans="1:29" x14ac:dyDescent="0.2">
      <c r="A154" s="43" t="s">
        <v>2312</v>
      </c>
      <c r="S154" s="47">
        <v>2019</v>
      </c>
      <c r="T154" s="29">
        <v>31.12</v>
      </c>
      <c r="U154" s="29">
        <f>20000-1400</f>
        <v>18600</v>
      </c>
      <c r="V154" s="450">
        <v>-1400</v>
      </c>
      <c r="W154" s="43" t="s">
        <v>2517</v>
      </c>
    </row>
    <row r="155" spans="1:29" x14ac:dyDescent="0.2">
      <c r="A155" s="43" t="s">
        <v>2313</v>
      </c>
      <c r="F155" s="151">
        <f>1.06^2-1</f>
        <v>0.12360000000000015</v>
      </c>
      <c r="H155" s="43" t="s">
        <v>2314</v>
      </c>
      <c r="S155" s="47"/>
      <c r="T155" s="29">
        <v>28.2</v>
      </c>
      <c r="U155" s="29">
        <v>20000</v>
      </c>
      <c r="V155" s="450"/>
      <c r="W155" s="43" t="s">
        <v>2518</v>
      </c>
      <c r="AB155" s="43">
        <f>ABS(AB150)*(1+AB148)^0.5</f>
        <v>288428.99151651585</v>
      </c>
      <c r="AC155" s="43" t="s">
        <v>2526</v>
      </c>
    </row>
    <row r="156" spans="1:29" x14ac:dyDescent="0.2">
      <c r="S156" s="47"/>
      <c r="T156" s="29">
        <v>30.4</v>
      </c>
      <c r="U156" s="29">
        <v>20000</v>
      </c>
      <c r="V156" s="450"/>
      <c r="W156" s="43" t="s">
        <v>2519</v>
      </c>
    </row>
    <row r="157" spans="1:29" x14ac:dyDescent="0.2">
      <c r="A157" s="43" t="s">
        <v>2315</v>
      </c>
      <c r="S157" s="47"/>
      <c r="T157" s="29">
        <v>30.6</v>
      </c>
      <c r="U157" s="29">
        <v>20000</v>
      </c>
      <c r="V157" s="450"/>
      <c r="W157" s="43" t="s">
        <v>2520</v>
      </c>
      <c r="AB157" s="59" t="s">
        <v>2528</v>
      </c>
      <c r="AC157" s="59"/>
    </row>
    <row r="158" spans="1:29" ht="16" x14ac:dyDescent="0.2">
      <c r="A158" s="43" t="s">
        <v>2316</v>
      </c>
      <c r="S158" s="47"/>
      <c r="T158" s="29">
        <v>30.8</v>
      </c>
      <c r="U158" s="29">
        <v>20000</v>
      </c>
      <c r="V158" s="450"/>
      <c r="W158" s="43" t="s">
        <v>2521</v>
      </c>
      <c r="AB158" s="572">
        <v>0.12690000000000001</v>
      </c>
      <c r="AC158" s="92" t="s">
        <v>87</v>
      </c>
    </row>
    <row r="159" spans="1:29" ht="16" x14ac:dyDescent="0.2">
      <c r="A159" s="43" t="s">
        <v>2317</v>
      </c>
      <c r="S159" s="47"/>
      <c r="T159" s="574" t="s">
        <v>2509</v>
      </c>
      <c r="U159" s="29">
        <v>20000</v>
      </c>
      <c r="V159" s="450"/>
      <c r="W159" s="43" t="s">
        <v>2522</v>
      </c>
      <c r="AB159" s="47">
        <v>3</v>
      </c>
      <c r="AC159" s="92" t="s">
        <v>89</v>
      </c>
    </row>
    <row r="160" spans="1:29" ht="16" x14ac:dyDescent="0.2">
      <c r="A160" s="43" t="s">
        <v>2318</v>
      </c>
      <c r="S160" s="47">
        <v>2020</v>
      </c>
      <c r="T160" s="29">
        <v>31.12</v>
      </c>
      <c r="U160" s="29">
        <f>20000-1400</f>
        <v>18600</v>
      </c>
      <c r="V160" s="450">
        <v>-1400</v>
      </c>
      <c r="W160" s="43" t="s">
        <v>2523</v>
      </c>
      <c r="AB160" s="573">
        <f>PV(AB158,AB159,AB161,AB162)</f>
        <v>3323.0917893448377</v>
      </c>
      <c r="AC160" s="92" t="s">
        <v>281</v>
      </c>
    </row>
    <row r="161" spans="1:29" ht="16" x14ac:dyDescent="0.2">
      <c r="C161" s="59" t="s">
        <v>2319</v>
      </c>
      <c r="D161" s="59" t="s">
        <v>2320</v>
      </c>
      <c r="S161" s="47"/>
      <c r="T161" s="29">
        <v>28.2</v>
      </c>
      <c r="U161" s="29">
        <v>20000</v>
      </c>
      <c r="V161" s="450"/>
      <c r="W161" s="43" t="s">
        <v>2524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50"/>
      <c r="W162" s="43" t="s">
        <v>2525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50"/>
      <c r="AB163" s="47">
        <v>0</v>
      </c>
      <c r="AC163" s="92" t="s">
        <v>333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50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74" t="s">
        <v>2509</v>
      </c>
      <c r="U165" s="29">
        <v>20000</v>
      </c>
      <c r="V165" s="450"/>
      <c r="AB165" s="43">
        <f>-AB160*(1+12.69%)^(3/12)</f>
        <v>-3423.8417400038034</v>
      </c>
      <c r="AC165" s="43" t="s">
        <v>2526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50">
        <v>-1400</v>
      </c>
    </row>
    <row r="167" spans="1:29" ht="16" x14ac:dyDescent="0.2">
      <c r="C167" s="74">
        <v>0</v>
      </c>
      <c r="D167" s="43">
        <v>0</v>
      </c>
      <c r="E167" s="92" t="s">
        <v>333</v>
      </c>
      <c r="U167" s="450"/>
      <c r="V167" s="450"/>
      <c r="AB167" s="43">
        <f>AB155+AB165</f>
        <v>285005.14977651206</v>
      </c>
      <c r="AC167" s="43" t="s">
        <v>2529</v>
      </c>
    </row>
    <row r="169" spans="1:29" x14ac:dyDescent="0.2">
      <c r="A169" s="43" t="s">
        <v>2321</v>
      </c>
      <c r="W169" s="576" t="s">
        <v>2531</v>
      </c>
      <c r="X169" s="576"/>
    </row>
    <row r="170" spans="1:29" x14ac:dyDescent="0.2">
      <c r="D170" s="59" t="s">
        <v>853</v>
      </c>
      <c r="E170" s="59" t="s">
        <v>2322</v>
      </c>
      <c r="W170" s="43" t="s">
        <v>2532</v>
      </c>
    </row>
    <row r="171" spans="1:29" x14ac:dyDescent="0.2">
      <c r="D171" s="43">
        <v>0</v>
      </c>
      <c r="E171" s="43">
        <v>0</v>
      </c>
      <c r="W171" s="43" t="s">
        <v>2533</v>
      </c>
    </row>
    <row r="172" spans="1:29" x14ac:dyDescent="0.2">
      <c r="D172" s="43">
        <v>-800</v>
      </c>
      <c r="E172" s="43">
        <v>1</v>
      </c>
      <c r="W172" s="43" t="s">
        <v>2534</v>
      </c>
    </row>
    <row r="173" spans="1:29" x14ac:dyDescent="0.2">
      <c r="D173" s="43">
        <v>0</v>
      </c>
      <c r="E173" s="43">
        <v>2</v>
      </c>
      <c r="W173" s="43" t="s">
        <v>2535</v>
      </c>
    </row>
    <row r="174" spans="1:29" x14ac:dyDescent="0.2">
      <c r="D174" s="43">
        <v>-800</v>
      </c>
      <c r="E174" s="43">
        <v>3</v>
      </c>
      <c r="W174" s="43" t="s">
        <v>2536</v>
      </c>
    </row>
    <row r="175" spans="1:29" x14ac:dyDescent="0.2">
      <c r="D175" s="43">
        <v>0</v>
      </c>
      <c r="E175" s="43">
        <v>4</v>
      </c>
      <c r="W175" s="43" t="s">
        <v>2537</v>
      </c>
    </row>
    <row r="176" spans="1:29" x14ac:dyDescent="0.2">
      <c r="D176" s="43">
        <v>-800</v>
      </c>
      <c r="E176" s="43">
        <v>5</v>
      </c>
      <c r="W176" s="43" t="s">
        <v>2538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2323</v>
      </c>
      <c r="D180" s="334">
        <f>NPV(C162,D172:D178)+D171</f>
        <v>-2556.2646367486313</v>
      </c>
      <c r="E180" s="43" t="s">
        <v>2301</v>
      </c>
    </row>
    <row r="185" spans="1:8" x14ac:dyDescent="0.2">
      <c r="A185" s="325" t="s">
        <v>2324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2325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2326</v>
      </c>
    </row>
    <row r="206" spans="1:8" x14ac:dyDescent="0.2">
      <c r="A206" s="43" t="s">
        <v>2327</v>
      </c>
    </row>
    <row r="208" spans="1:8" x14ac:dyDescent="0.2">
      <c r="B208" s="59" t="s">
        <v>2328</v>
      </c>
      <c r="C208" s="59" t="s">
        <v>456</v>
      </c>
      <c r="D208" s="59" t="s">
        <v>2329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333</v>
      </c>
    </row>
    <row r="215" spans="1:8" ht="16" x14ac:dyDescent="0.2">
      <c r="E215" s="92"/>
    </row>
    <row r="216" spans="1:8" ht="16" thickBot="1" x14ac:dyDescent="0.25">
      <c r="A216" s="44" t="s">
        <v>2291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2330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2331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2332</v>
      </c>
    </row>
    <row r="250" spans="1:8" x14ac:dyDescent="0.2">
      <c r="A250" s="43" t="s">
        <v>2333</v>
      </c>
    </row>
    <row r="251" spans="1:8" x14ac:dyDescent="0.2">
      <c r="A251" s="43" t="s">
        <v>2334</v>
      </c>
    </row>
    <row r="253" spans="1:8" x14ac:dyDescent="0.2">
      <c r="C253" s="59" t="s">
        <v>2335</v>
      </c>
      <c r="D253" s="59" t="s">
        <v>2336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333</v>
      </c>
    </row>
    <row r="260" spans="1:5" ht="16" x14ac:dyDescent="0.2">
      <c r="E260" s="92"/>
    </row>
    <row r="261" spans="1:5" ht="16" x14ac:dyDescent="0.2">
      <c r="A261" s="43" t="s">
        <v>2337</v>
      </c>
      <c r="E261" s="92"/>
    </row>
    <row r="262" spans="1:5" ht="16" x14ac:dyDescent="0.2">
      <c r="A262" s="43" t="s">
        <v>2338</v>
      </c>
      <c r="E262" s="92"/>
    </row>
    <row r="263" spans="1:5" ht="16" x14ac:dyDescent="0.2">
      <c r="E263" s="92"/>
    </row>
    <row r="264" spans="1:5" ht="64" x14ac:dyDescent="0.2">
      <c r="C264" s="347" t="s">
        <v>2339</v>
      </c>
      <c r="D264" s="346" t="s">
        <v>2340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2341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2291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2342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2343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2344</v>
      </c>
    </row>
    <row r="313" spans="1:8" x14ac:dyDescent="0.2">
      <c r="A313" s="43" t="s">
        <v>2345</v>
      </c>
    </row>
    <row r="315" spans="1:8" x14ac:dyDescent="0.2">
      <c r="B315" s="59" t="s">
        <v>2346</v>
      </c>
      <c r="C315" s="59" t="s">
        <v>2347</v>
      </c>
      <c r="D315" s="59" t="s">
        <v>2348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333</v>
      </c>
    </row>
    <row r="322" spans="1:8" x14ac:dyDescent="0.2">
      <c r="A322" s="74"/>
      <c r="B322" s="47"/>
    </row>
    <row r="323" spans="1:8" ht="16" thickBot="1" x14ac:dyDescent="0.25">
      <c r="A323" s="44" t="s">
        <v>2291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2349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789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79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78">
        <f>M345+M346</f>
        <v>94</v>
      </c>
      <c r="O347" s="72"/>
    </row>
    <row r="348" spans="1:15" x14ac:dyDescent="0.2">
      <c r="J348" s="43" t="s">
        <v>2356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79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78">
        <f>M351+M352</f>
        <v>96</v>
      </c>
    </row>
    <row r="356" spans="1:13" x14ac:dyDescent="0.2">
      <c r="A356" s="325" t="s">
        <v>2350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788</v>
      </c>
      <c r="C358" s="43" t="s">
        <v>2351</v>
      </c>
      <c r="E358" s="205">
        <f>1.015^4-1</f>
        <v>6.136355062499943E-2</v>
      </c>
      <c r="G358" s="43" t="s">
        <v>2352</v>
      </c>
    </row>
    <row r="359" spans="1:13" x14ac:dyDescent="0.2">
      <c r="A359" s="43" t="s">
        <v>789</v>
      </c>
      <c r="E359" s="161">
        <f>1/0.94-1</f>
        <v>6.3829787234042534E-2</v>
      </c>
      <c r="G359" s="43" t="s">
        <v>2353</v>
      </c>
    </row>
    <row r="360" spans="1:13" x14ac:dyDescent="0.2">
      <c r="A360" s="43" t="s">
        <v>2354</v>
      </c>
      <c r="E360" s="161">
        <f>1.0055^12-1</f>
        <v>6.8033559467648441E-2</v>
      </c>
      <c r="G360" s="43" t="s">
        <v>2355</v>
      </c>
    </row>
    <row r="361" spans="1:13" x14ac:dyDescent="0.2">
      <c r="A361" s="43" t="s">
        <v>2356</v>
      </c>
      <c r="E361" s="161">
        <f>1.01^2/0.96-1</f>
        <v>6.2604166666666794E-2</v>
      </c>
      <c r="G361" s="43" t="s">
        <v>2357</v>
      </c>
    </row>
    <row r="362" spans="1:13" x14ac:dyDescent="0.2">
      <c r="A362" s="43" t="s">
        <v>2358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2291</v>
      </c>
    </row>
    <row r="365" spans="1:13" x14ac:dyDescent="0.2">
      <c r="A365" s="324" t="s">
        <v>2359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2360</v>
      </c>
      <c r="G366" s="43" t="s">
        <v>2361</v>
      </c>
      <c r="H366" s="217"/>
    </row>
    <row r="367" spans="1:13" x14ac:dyDescent="0.2">
      <c r="A367" s="323" t="s">
        <v>2362</v>
      </c>
      <c r="H367" s="217"/>
    </row>
    <row r="368" spans="1:13" x14ac:dyDescent="0.2">
      <c r="A368" s="323" t="s">
        <v>2363</v>
      </c>
      <c r="H368" s="217"/>
    </row>
    <row r="369" spans="1:8" x14ac:dyDescent="0.2">
      <c r="A369" s="323" t="s">
        <v>2364</v>
      </c>
      <c r="H369" s="217"/>
    </row>
    <row r="370" spans="1:8" x14ac:dyDescent="0.2">
      <c r="A370" s="323" t="s">
        <v>2365</v>
      </c>
      <c r="H370" s="217"/>
    </row>
    <row r="371" spans="1:8" x14ac:dyDescent="0.2">
      <c r="A371" s="323" t="s">
        <v>2366</v>
      </c>
      <c r="H371" s="217"/>
    </row>
    <row r="372" spans="1:8" x14ac:dyDescent="0.2">
      <c r="A372" s="323" t="s">
        <v>2367</v>
      </c>
      <c r="H372" s="217"/>
    </row>
    <row r="373" spans="1:8" x14ac:dyDescent="0.2">
      <c r="A373" s="323" t="s">
        <v>2368</v>
      </c>
      <c r="H373" s="217"/>
    </row>
    <row r="374" spans="1:8" x14ac:dyDescent="0.2">
      <c r="A374" s="323" t="s">
        <v>2369</v>
      </c>
      <c r="H374" s="217"/>
    </row>
    <row r="375" spans="1:8" ht="16" thickBot="1" x14ac:dyDescent="0.25">
      <c r="A375" s="236" t="s">
        <v>2370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2371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2372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2373</v>
      </c>
    </row>
    <row r="398" spans="1:8" x14ac:dyDescent="0.2">
      <c r="A398" s="43" t="s">
        <v>2374</v>
      </c>
    </row>
    <row r="399" spans="1:8" x14ac:dyDescent="0.2">
      <c r="A399" s="43" t="s">
        <v>2375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2376</v>
      </c>
      <c r="F402" s="48">
        <v>100000</v>
      </c>
      <c r="G402" s="43" t="s">
        <v>2377</v>
      </c>
    </row>
    <row r="403" spans="1:8" x14ac:dyDescent="0.2">
      <c r="B403" s="47">
        <v>230</v>
      </c>
      <c r="C403" s="43" t="s">
        <v>2378</v>
      </c>
      <c r="F403" s="48">
        <f>-1.5%*100000</f>
        <v>-1500</v>
      </c>
      <c r="G403" s="43" t="s">
        <v>2379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2380</v>
      </c>
    </row>
    <row r="407" spans="1:8" x14ac:dyDescent="0.2">
      <c r="A407" s="43" t="s">
        <v>2381</v>
      </c>
      <c r="C407" s="201">
        <f>-B404/F404-1</f>
        <v>3.7258883248731056E-2</v>
      </c>
      <c r="H407" s="43" t="s">
        <v>2382</v>
      </c>
    </row>
    <row r="408" spans="1:8" x14ac:dyDescent="0.2">
      <c r="A408" s="43" t="s">
        <v>2383</v>
      </c>
      <c r="C408" s="341">
        <f>(1+C407)^2-1</f>
        <v>7.5905990878404772E-2</v>
      </c>
      <c r="H408" s="43" t="s">
        <v>2384</v>
      </c>
    </row>
    <row r="410" spans="1:8" x14ac:dyDescent="0.2">
      <c r="A410" s="43" t="s">
        <v>2385</v>
      </c>
    </row>
    <row r="411" spans="1:8" x14ac:dyDescent="0.2">
      <c r="A411" s="43" t="s">
        <v>2386</v>
      </c>
      <c r="C411" s="201">
        <f>(100000*1.024-230)/(100000*0.985)-1</f>
        <v>3.7258883248731056E-2</v>
      </c>
      <c r="H411" s="43" t="s">
        <v>2387</v>
      </c>
    </row>
    <row r="412" spans="1:8" x14ac:dyDescent="0.2">
      <c r="A412" s="43" t="s">
        <v>2388</v>
      </c>
      <c r="C412" s="341">
        <f>(1+C411)^2-1</f>
        <v>7.5905990878404772E-2</v>
      </c>
      <c r="H412" s="43" t="s">
        <v>2384</v>
      </c>
    </row>
    <row r="414" spans="1:8" ht="16" thickBot="1" x14ac:dyDescent="0.25">
      <c r="A414" s="44" t="s">
        <v>2291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2389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2390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2391</v>
      </c>
    </row>
    <row r="452" spans="1:8" x14ac:dyDescent="0.2">
      <c r="A452" s="43" t="s">
        <v>2392</v>
      </c>
    </row>
    <row r="453" spans="1:8" x14ac:dyDescent="0.2">
      <c r="A453" s="43" t="s">
        <v>2393</v>
      </c>
    </row>
    <row r="454" spans="1:8" x14ac:dyDescent="0.2">
      <c r="A454" s="43" t="s">
        <v>2394</v>
      </c>
    </row>
    <row r="456" spans="1:8" x14ac:dyDescent="0.2">
      <c r="C456" s="59" t="s">
        <v>268</v>
      </c>
      <c r="D456" s="59" t="s">
        <v>2395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333</v>
      </c>
    </row>
    <row r="464" spans="1:8" ht="16" thickBot="1" x14ac:dyDescent="0.25">
      <c r="A464" s="44" t="s">
        <v>2291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2396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2397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2398</v>
      </c>
    </row>
    <row r="495" spans="1:8" x14ac:dyDescent="0.2">
      <c r="A495" s="43" t="s">
        <v>2399</v>
      </c>
    </row>
    <row r="496" spans="1:8" x14ac:dyDescent="0.2">
      <c r="A496" s="43" t="s">
        <v>2400</v>
      </c>
    </row>
    <row r="497" spans="1:8" x14ac:dyDescent="0.2">
      <c r="E497" s="74">
        <f>100000*10/15</f>
        <v>66666.666666666672</v>
      </c>
      <c r="H497" s="43" t="s">
        <v>2401</v>
      </c>
    </row>
    <row r="498" spans="1:8" x14ac:dyDescent="0.2">
      <c r="A498" s="43" t="s">
        <v>2402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1538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333</v>
      </c>
    </row>
    <row r="506" spans="1:8" x14ac:dyDescent="0.2">
      <c r="D506" s="321">
        <f>PPMT(D500,D501,D502,D503,D504,D505)</f>
        <v>-6260.9238191210607</v>
      </c>
      <c r="E506" s="43" t="s">
        <v>1540</v>
      </c>
    </row>
    <row r="508" spans="1:8" ht="16" thickBot="1" x14ac:dyDescent="0.25">
      <c r="A508" s="44" t="s">
        <v>2291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2403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2404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2405</v>
      </c>
    </row>
    <row r="545" spans="1:5" x14ac:dyDescent="0.2">
      <c r="A545" s="43" t="s">
        <v>2406</v>
      </c>
    </row>
    <row r="547" spans="1:5" x14ac:dyDescent="0.2">
      <c r="D547" s="59" t="s">
        <v>2407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333</v>
      </c>
    </row>
    <row r="555" spans="1:5" x14ac:dyDescent="0.2">
      <c r="A555" s="43" t="s">
        <v>2408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1538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333</v>
      </c>
    </row>
    <row r="562" spans="1:8" x14ac:dyDescent="0.2">
      <c r="D562" s="321">
        <f>IPMT(D556,D557,D558,D559,D560,D561)</f>
        <v>-373.1740161452214</v>
      </c>
      <c r="E562" s="43" t="s">
        <v>1540</v>
      </c>
    </row>
    <row r="564" spans="1:8" ht="16" thickBot="1" x14ac:dyDescent="0.25">
      <c r="A564" s="44" t="s">
        <v>2291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2409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2410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2411</v>
      </c>
    </row>
    <row r="604" spans="1:8" x14ac:dyDescent="0.2">
      <c r="B604" s="49" t="s">
        <v>1944</v>
      </c>
      <c r="C604" s="49" t="s">
        <v>1945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2412</v>
      </c>
      <c r="B611" s="54">
        <v>0.1</v>
      </c>
      <c r="C611" s="54">
        <v>0.1</v>
      </c>
    </row>
    <row r="612" spans="1:8" x14ac:dyDescent="0.2">
      <c r="A612" s="47" t="s">
        <v>2413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2414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2415</v>
      </c>
    </row>
    <row r="615" spans="1:8" x14ac:dyDescent="0.2">
      <c r="A615" s="47" t="s">
        <v>2416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2417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2291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2418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2419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2420</v>
      </c>
    </row>
    <row r="647" spans="1:8" x14ac:dyDescent="0.2">
      <c r="A647" s="43" t="s">
        <v>2421</v>
      </c>
    </row>
    <row r="648" spans="1:8" x14ac:dyDescent="0.2">
      <c r="A648" s="43" t="s">
        <v>2422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2423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333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2424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333</v>
      </c>
    </row>
    <row r="663" spans="1:8" ht="16" x14ac:dyDescent="0.2">
      <c r="E663" s="92"/>
    </row>
    <row r="664" spans="1:8" x14ac:dyDescent="0.2">
      <c r="A664" s="43" t="s">
        <v>2425</v>
      </c>
    </row>
    <row r="665" spans="1:8" x14ac:dyDescent="0.2">
      <c r="A665" s="321">
        <f>D659*1.01^5*1.02^2*1^3</f>
        <v>768681.03428546432</v>
      </c>
      <c r="E665" s="43" t="s">
        <v>2426</v>
      </c>
    </row>
    <row r="667" spans="1:8" ht="16" thickBot="1" x14ac:dyDescent="0.25">
      <c r="A667" s="44" t="s">
        <v>2291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abSelected="1" zoomScale="380" zoomScaleNormal="380" workbookViewId="0">
      <selection activeCell="F11" sqref="F1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2544</v>
      </c>
    </row>
    <row r="5" spans="1:8" x14ac:dyDescent="0.2">
      <c r="A5" s="43" t="s">
        <v>49</v>
      </c>
    </row>
    <row r="6" spans="1:8" x14ac:dyDescent="0.2">
      <c r="A6" s="43" t="s">
        <v>2545</v>
      </c>
    </row>
    <row r="7" spans="1:8" x14ac:dyDescent="0.2">
      <c r="A7" s="43" t="s">
        <v>2546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81" t="s">
        <v>58</v>
      </c>
      <c r="B19" s="582"/>
      <c r="C19" s="582"/>
      <c r="D19" s="582"/>
      <c r="E19" s="582"/>
      <c r="F19" s="582"/>
      <c r="G19" s="582"/>
      <c r="H19" s="582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76" t="s">
        <v>3039</v>
      </c>
      <c r="B71" s="576"/>
      <c r="C71" s="576"/>
      <c r="D71" s="576"/>
      <c r="E71" s="576"/>
      <c r="F71" s="576"/>
      <c r="G71" s="576"/>
      <c r="H71" s="576"/>
    </row>
    <row r="72" spans="1:8" s="719" customFormat="1" ht="16" thickBot="1" x14ac:dyDescent="0.25"/>
    <row r="73" spans="1:8" ht="16" thickBot="1" x14ac:dyDescent="0.25">
      <c r="A73" s="207" t="s">
        <v>3032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3040</v>
      </c>
    </row>
    <row r="76" spans="1:8" x14ac:dyDescent="0.2">
      <c r="A76" s="43" t="s">
        <v>3041</v>
      </c>
    </row>
    <row r="78" spans="1:8" x14ac:dyDescent="0.2">
      <c r="A78" s="43" t="s">
        <v>111</v>
      </c>
    </row>
    <row r="80" spans="1:8" x14ac:dyDescent="0.2">
      <c r="A80" s="43" t="s">
        <v>3056</v>
      </c>
    </row>
    <row r="81" spans="1:8" x14ac:dyDescent="0.2">
      <c r="A81" s="43" t="s">
        <v>3057</v>
      </c>
    </row>
    <row r="83" spans="1:8" x14ac:dyDescent="0.2">
      <c r="F83" s="43" t="s">
        <v>3058</v>
      </c>
      <c r="H83" s="43" t="s">
        <v>3065</v>
      </c>
    </row>
    <row r="84" spans="1:8" x14ac:dyDescent="0.2">
      <c r="H84" s="43" t="s">
        <v>3066</v>
      </c>
    </row>
    <row r="85" spans="1:8" x14ac:dyDescent="0.2">
      <c r="H85" s="43" t="s">
        <v>3067</v>
      </c>
    </row>
    <row r="86" spans="1:8" x14ac:dyDescent="0.2">
      <c r="D86" s="43" t="s">
        <v>3068</v>
      </c>
      <c r="F86" s="43" t="s">
        <v>3059</v>
      </c>
    </row>
    <row r="87" spans="1:8" x14ac:dyDescent="0.2">
      <c r="D87" s="43" t="s">
        <v>3069</v>
      </c>
      <c r="F87" s="43" t="s">
        <v>3060</v>
      </c>
    </row>
    <row r="88" spans="1:8" x14ac:dyDescent="0.2">
      <c r="D88" s="43" t="s">
        <v>3070</v>
      </c>
      <c r="F88" s="43" t="s">
        <v>3061</v>
      </c>
    </row>
    <row r="89" spans="1:8" x14ac:dyDescent="0.2">
      <c r="D89" s="43" t="s">
        <v>3071</v>
      </c>
      <c r="F89" s="43" t="s">
        <v>3062</v>
      </c>
    </row>
    <row r="90" spans="1:8" x14ac:dyDescent="0.2">
      <c r="D90" s="43" t="s">
        <v>3072</v>
      </c>
      <c r="F90" s="43" t="s">
        <v>3063</v>
      </c>
    </row>
    <row r="91" spans="1:8" x14ac:dyDescent="0.2">
      <c r="D91" s="44" t="s">
        <v>3073</v>
      </c>
      <c r="F91" s="43" t="s">
        <v>3064</v>
      </c>
    </row>
    <row r="92" spans="1:8" x14ac:dyDescent="0.2">
      <c r="D92" s="43" t="s">
        <v>3076</v>
      </c>
    </row>
    <row r="93" spans="1:8" x14ac:dyDescent="0.2">
      <c r="D93" s="43" t="s">
        <v>3074</v>
      </c>
    </row>
    <row r="94" spans="1:8" x14ac:dyDescent="0.2">
      <c r="D94" s="43" t="s">
        <v>3075</v>
      </c>
    </row>
    <row r="95" spans="1:8" x14ac:dyDescent="0.2">
      <c r="D95" s="43" t="s">
        <v>70</v>
      </c>
    </row>
    <row r="96" spans="1:8" x14ac:dyDescent="0.2">
      <c r="H96" s="43" t="s">
        <v>3078</v>
      </c>
    </row>
    <row r="97" spans="1:8" x14ac:dyDescent="0.2">
      <c r="F97" s="43" t="s">
        <v>3077</v>
      </c>
      <c r="H97" s="43" t="s">
        <v>3079</v>
      </c>
    </row>
    <row r="99" spans="1:8" x14ac:dyDescent="0.2">
      <c r="A99" s="44" t="s">
        <v>3033</v>
      </c>
    </row>
    <row r="101" spans="1:8" x14ac:dyDescent="0.2">
      <c r="A101" s="43" t="s">
        <v>3042</v>
      </c>
    </row>
    <row r="102" spans="1:8" x14ac:dyDescent="0.2">
      <c r="A102" s="43" t="s">
        <v>3043</v>
      </c>
    </row>
    <row r="104" spans="1:8" x14ac:dyDescent="0.2">
      <c r="D104" s="48">
        <f>50000*(1+7%*3+9%*5)</f>
        <v>83000</v>
      </c>
      <c r="G104" s="43" t="s">
        <v>3080</v>
      </c>
    </row>
    <row r="107" spans="1:8" x14ac:dyDescent="0.2">
      <c r="E107" s="43" t="s">
        <v>3084</v>
      </c>
      <c r="G107" s="43" t="s">
        <v>3081</v>
      </c>
    </row>
    <row r="108" spans="1:8" x14ac:dyDescent="0.2">
      <c r="E108" s="43" t="s">
        <v>3085</v>
      </c>
      <c r="G108" s="43" t="s">
        <v>3082</v>
      </c>
    </row>
    <row r="109" spans="1:8" x14ac:dyDescent="0.2">
      <c r="E109" s="43" t="s">
        <v>3086</v>
      </c>
      <c r="G109" s="43" t="s">
        <v>3083</v>
      </c>
    </row>
    <row r="110" spans="1:8" x14ac:dyDescent="0.2">
      <c r="E110" s="43" t="s">
        <v>3087</v>
      </c>
    </row>
    <row r="111" spans="1:8" x14ac:dyDescent="0.2">
      <c r="E111" s="43" t="s">
        <v>3088</v>
      </c>
    </row>
    <row r="112" spans="1:8" x14ac:dyDescent="0.2">
      <c r="E112" s="43" t="s">
        <v>3089</v>
      </c>
    </row>
    <row r="114" spans="1:7" x14ac:dyDescent="0.2">
      <c r="G114" s="43" t="s">
        <v>3090</v>
      </c>
    </row>
    <row r="117" spans="1:7" x14ac:dyDescent="0.2">
      <c r="E117" s="43" t="s">
        <v>3093</v>
      </c>
      <c r="G117" s="43" t="s">
        <v>3091</v>
      </c>
    </row>
    <row r="118" spans="1:7" x14ac:dyDescent="0.2">
      <c r="E118" s="43" t="s">
        <v>3094</v>
      </c>
      <c r="G118" s="43" t="s">
        <v>3092</v>
      </c>
    </row>
    <row r="119" spans="1:7" x14ac:dyDescent="0.2">
      <c r="E119" s="43" t="s">
        <v>3095</v>
      </c>
    </row>
    <row r="120" spans="1:7" x14ac:dyDescent="0.2">
      <c r="E120" s="43" t="s">
        <v>3096</v>
      </c>
    </row>
    <row r="121" spans="1:7" x14ac:dyDescent="0.2">
      <c r="E121" s="43" t="s">
        <v>3097</v>
      </c>
    </row>
    <row r="122" spans="1:7" x14ac:dyDescent="0.2">
      <c r="E122" s="43" t="s">
        <v>3098</v>
      </c>
    </row>
    <row r="124" spans="1:7" x14ac:dyDescent="0.2">
      <c r="A124" s="44" t="s">
        <v>3034</v>
      </c>
    </row>
    <row r="126" spans="1:7" x14ac:dyDescent="0.2">
      <c r="A126" s="43" t="s">
        <v>3044</v>
      </c>
    </row>
    <row r="127" spans="1:7" x14ac:dyDescent="0.2">
      <c r="A127" s="43" t="s">
        <v>3045</v>
      </c>
    </row>
    <row r="129" spans="1:6" x14ac:dyDescent="0.2">
      <c r="A129" s="43" t="s">
        <v>111</v>
      </c>
    </row>
    <row r="131" spans="1:6" x14ac:dyDescent="0.2">
      <c r="A131" s="43" t="s">
        <v>3099</v>
      </c>
    </row>
    <row r="132" spans="1:6" x14ac:dyDescent="0.2">
      <c r="A132" s="43" t="s">
        <v>3100</v>
      </c>
    </row>
    <row r="134" spans="1:6" x14ac:dyDescent="0.2">
      <c r="F134" s="43" t="s">
        <v>3101</v>
      </c>
    </row>
    <row r="136" spans="1:6" x14ac:dyDescent="0.2">
      <c r="A136" s="43" t="s">
        <v>3102</v>
      </c>
    </row>
    <row r="137" spans="1:6" x14ac:dyDescent="0.2">
      <c r="A137" s="43" t="s">
        <v>3103</v>
      </c>
    </row>
    <row r="138" spans="1:6" x14ac:dyDescent="0.2">
      <c r="A138" s="43" t="s">
        <v>3104</v>
      </c>
    </row>
    <row r="139" spans="1:6" x14ac:dyDescent="0.2">
      <c r="A139" s="43" t="s">
        <v>3105</v>
      </c>
    </row>
    <row r="141" spans="1:6" x14ac:dyDescent="0.2">
      <c r="A141" s="43" t="s">
        <v>3106</v>
      </c>
    </row>
    <row r="142" spans="1:6" x14ac:dyDescent="0.2">
      <c r="D142" s="74">
        <f>90000*1.05^10</f>
        <v>146600.51640996974</v>
      </c>
      <c r="F142" s="43" t="s">
        <v>3107</v>
      </c>
    </row>
    <row r="145" spans="1:8" x14ac:dyDescent="0.2">
      <c r="D145" s="43" t="s">
        <v>3110</v>
      </c>
      <c r="F145" s="43" t="s">
        <v>3108</v>
      </c>
    </row>
    <row r="146" spans="1:8" x14ac:dyDescent="0.2">
      <c r="D146" s="43" t="s">
        <v>3111</v>
      </c>
      <c r="F146" s="43" t="s">
        <v>3109</v>
      </c>
    </row>
    <row r="147" spans="1:8" x14ac:dyDescent="0.2">
      <c r="D147" s="43" t="s">
        <v>3112</v>
      </c>
    </row>
    <row r="148" spans="1:8" x14ac:dyDescent="0.2">
      <c r="D148" s="43" t="s">
        <v>3113</v>
      </c>
    </row>
    <row r="149" spans="1:8" x14ac:dyDescent="0.2">
      <c r="D149" s="43" t="s">
        <v>3114</v>
      </c>
      <c r="H149" s="43" t="s">
        <v>3116</v>
      </c>
    </row>
    <row r="150" spans="1:8" x14ac:dyDescent="0.2">
      <c r="H150" s="43" t="s">
        <v>3117</v>
      </c>
    </row>
    <row r="151" spans="1:8" x14ac:dyDescent="0.2">
      <c r="F151" s="43" t="s">
        <v>3115</v>
      </c>
      <c r="H151" s="43" t="s">
        <v>3118</v>
      </c>
    </row>
    <row r="152" spans="1:8" x14ac:dyDescent="0.2">
      <c r="H152" s="43" t="s">
        <v>3119</v>
      </c>
    </row>
    <row r="153" spans="1:8" x14ac:dyDescent="0.2">
      <c r="H153" s="43" t="s">
        <v>3120</v>
      </c>
    </row>
    <row r="155" spans="1:8" x14ac:dyDescent="0.2">
      <c r="A155" s="43" t="s">
        <v>3121</v>
      </c>
    </row>
    <row r="157" spans="1:8" x14ac:dyDescent="0.2">
      <c r="E157" s="54">
        <v>0.05</v>
      </c>
      <c r="F157" s="43" t="s">
        <v>87</v>
      </c>
      <c r="G157" s="43" t="s">
        <v>3122</v>
      </c>
    </row>
    <row r="158" spans="1:8" x14ac:dyDescent="0.2">
      <c r="E158" s="47">
        <v>10</v>
      </c>
      <c r="F158" s="43" t="s">
        <v>89</v>
      </c>
      <c r="G158" s="43" t="s">
        <v>3123</v>
      </c>
    </row>
    <row r="159" spans="1:8" x14ac:dyDescent="0.2">
      <c r="E159" s="48">
        <v>0</v>
      </c>
      <c r="F159" s="43" t="s">
        <v>91</v>
      </c>
      <c r="G159" s="43" t="s">
        <v>3124</v>
      </c>
    </row>
    <row r="160" spans="1:8" x14ac:dyDescent="0.2">
      <c r="A160" s="43" t="s">
        <v>3127</v>
      </c>
      <c r="E160" s="48">
        <v>-90000</v>
      </c>
      <c r="F160" s="43" t="s">
        <v>281</v>
      </c>
      <c r="G160" s="43" t="s">
        <v>3125</v>
      </c>
    </row>
    <row r="161" spans="1:7" x14ac:dyDescent="0.2">
      <c r="D161" s="43" t="s">
        <v>1626</v>
      </c>
      <c r="E161" s="150">
        <f>FV(E157,E158,E159,E160)</f>
        <v>146600.51640996974</v>
      </c>
      <c r="F161" s="43" t="s">
        <v>105</v>
      </c>
      <c r="G161" s="43" t="s">
        <v>3126</v>
      </c>
    </row>
    <row r="163" spans="1:7" x14ac:dyDescent="0.2">
      <c r="A163" s="43" t="s">
        <v>3128</v>
      </c>
    </row>
    <row r="164" spans="1:7" x14ac:dyDescent="0.2">
      <c r="A164" s="43" t="s">
        <v>3129</v>
      </c>
    </row>
    <row r="166" spans="1:7" x14ac:dyDescent="0.2">
      <c r="A166" s="44" t="s">
        <v>3035</v>
      </c>
    </row>
    <row r="168" spans="1:7" x14ac:dyDescent="0.2">
      <c r="A168" s="43" t="s">
        <v>3049</v>
      </c>
    </row>
    <row r="169" spans="1:7" x14ac:dyDescent="0.2">
      <c r="A169" s="43" t="s">
        <v>3046</v>
      </c>
    </row>
    <row r="170" spans="1:7" x14ac:dyDescent="0.2">
      <c r="A170" s="43" t="s">
        <v>3047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3130</v>
      </c>
    </row>
    <row r="176" spans="1:7" x14ac:dyDescent="0.2">
      <c r="F176" s="43" t="s">
        <v>3131</v>
      </c>
    </row>
    <row r="178" spans="1:6" x14ac:dyDescent="0.2">
      <c r="A178" s="43" t="s">
        <v>3132</v>
      </c>
    </row>
    <row r="180" spans="1:6" x14ac:dyDescent="0.2">
      <c r="B180" s="47" t="s">
        <v>1037</v>
      </c>
      <c r="C180" s="47" t="s">
        <v>796</v>
      </c>
      <c r="D180" s="47" t="s">
        <v>797</v>
      </c>
    </row>
    <row r="181" spans="1:6" x14ac:dyDescent="0.2">
      <c r="B181" s="49" t="s">
        <v>3135</v>
      </c>
      <c r="C181" s="49" t="s">
        <v>3134</v>
      </c>
      <c r="D181" s="49" t="s">
        <v>3133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3122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3123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3124</v>
      </c>
    </row>
    <row r="185" spans="1:6" x14ac:dyDescent="0.2">
      <c r="B185" s="331">
        <f>-C186</f>
        <v>-30607.30107002881</v>
      </c>
      <c r="C185" s="573">
        <f>-D186</f>
        <v>-22497.280000000002</v>
      </c>
      <c r="D185" s="48">
        <v>-20000</v>
      </c>
      <c r="E185" s="43" t="s">
        <v>281</v>
      </c>
      <c r="F185" s="43" t="s">
        <v>3125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73">
        <f>FV(D182,D183,D184,D185)</f>
        <v>22497.280000000002</v>
      </c>
      <c r="E186" s="43" t="s">
        <v>105</v>
      </c>
      <c r="F186" s="43" t="s">
        <v>3126</v>
      </c>
    </row>
    <row r="188" spans="1:6" x14ac:dyDescent="0.2">
      <c r="A188" s="43" t="s">
        <v>3136</v>
      </c>
    </row>
    <row r="189" spans="1:6" x14ac:dyDescent="0.2">
      <c r="A189" s="43" t="s">
        <v>3137</v>
      </c>
    </row>
    <row r="190" spans="1:6" x14ac:dyDescent="0.2">
      <c r="A190" s="43" t="s">
        <v>3138</v>
      </c>
    </row>
    <row r="191" spans="1:6" x14ac:dyDescent="0.2">
      <c r="A191" s="43" t="s">
        <v>3139</v>
      </c>
    </row>
    <row r="192" spans="1:6" x14ac:dyDescent="0.2">
      <c r="A192" s="43" t="s">
        <v>3140</v>
      </c>
    </row>
    <row r="193" spans="1:7" x14ac:dyDescent="0.2">
      <c r="A193" s="43" t="s">
        <v>3141</v>
      </c>
    </row>
    <row r="195" spans="1:7" x14ac:dyDescent="0.2">
      <c r="A195" s="44" t="s">
        <v>3036</v>
      </c>
    </row>
    <row r="197" spans="1:7" x14ac:dyDescent="0.2">
      <c r="A197" s="43" t="s">
        <v>3145</v>
      </c>
    </row>
    <row r="198" spans="1:7" x14ac:dyDescent="0.2">
      <c r="A198" s="43" t="s">
        <v>3144</v>
      </c>
    </row>
    <row r="199" spans="1:7" x14ac:dyDescent="0.2">
      <c r="A199" s="43" t="s">
        <v>3048</v>
      </c>
    </row>
    <row r="201" spans="1:7" x14ac:dyDescent="0.2">
      <c r="C201" s="721"/>
      <c r="D201" s="47" t="s">
        <v>796</v>
      </c>
      <c r="E201" s="47" t="s">
        <v>797</v>
      </c>
    </row>
    <row r="202" spans="1:7" x14ac:dyDescent="0.2">
      <c r="A202" s="43" t="s">
        <v>3146</v>
      </c>
      <c r="C202" s="721"/>
      <c r="D202" s="49" t="s">
        <v>3143</v>
      </c>
      <c r="E202" s="49" t="s">
        <v>3142</v>
      </c>
    </row>
    <row r="203" spans="1:7" x14ac:dyDescent="0.2">
      <c r="A203" s="43" t="s">
        <v>3147</v>
      </c>
      <c r="C203" s="722"/>
      <c r="D203" s="54">
        <v>0.03</v>
      </c>
      <c r="E203" s="54">
        <v>0.01</v>
      </c>
      <c r="F203" s="43" t="s">
        <v>87</v>
      </c>
      <c r="G203" s="43" t="s">
        <v>3122</v>
      </c>
    </row>
    <row r="204" spans="1:7" x14ac:dyDescent="0.2">
      <c r="A204" s="43" t="s">
        <v>3148</v>
      </c>
      <c r="C204" s="721"/>
      <c r="D204" s="121">
        <f>6*12</f>
        <v>72</v>
      </c>
      <c r="E204" s="47">
        <v>4</v>
      </c>
      <c r="F204" s="43" t="s">
        <v>89</v>
      </c>
      <c r="G204" s="43" t="s">
        <v>3123</v>
      </c>
    </row>
    <row r="205" spans="1:7" x14ac:dyDescent="0.2">
      <c r="C205" s="721"/>
      <c r="D205" s="47">
        <v>0</v>
      </c>
      <c r="E205" s="47">
        <v>0</v>
      </c>
      <c r="F205" s="43" t="s">
        <v>91</v>
      </c>
      <c r="G205" s="43" t="s">
        <v>3124</v>
      </c>
    </row>
    <row r="206" spans="1:7" x14ac:dyDescent="0.2">
      <c r="C206" s="723"/>
      <c r="D206" s="573">
        <f>-E207</f>
        <v>-20812.0802</v>
      </c>
      <c r="E206" s="48">
        <v>-20000</v>
      </c>
      <c r="F206" s="43" t="s">
        <v>281</v>
      </c>
      <c r="G206" s="43" t="s">
        <v>3125</v>
      </c>
    </row>
    <row r="207" spans="1:7" x14ac:dyDescent="0.2">
      <c r="C207" s="723"/>
      <c r="D207" s="724">
        <f>FV(D203,D204,D205,D206)</f>
        <v>174821.83303323836</v>
      </c>
      <c r="E207" s="573">
        <f>FV(E203,E204,E205,E206)</f>
        <v>20812.0802</v>
      </c>
      <c r="F207" s="43" t="s">
        <v>105</v>
      </c>
      <c r="G207" s="43" t="s">
        <v>3126</v>
      </c>
    </row>
    <row r="208" spans="1:7" x14ac:dyDescent="0.2">
      <c r="C208" s="720"/>
      <c r="D208" s="720"/>
      <c r="E208" s="720"/>
    </row>
    <row r="209" spans="1:6" x14ac:dyDescent="0.2">
      <c r="C209" s="720"/>
      <c r="D209" s="720"/>
      <c r="E209" s="720"/>
    </row>
    <row r="210" spans="1:6" x14ac:dyDescent="0.2">
      <c r="A210" s="44" t="s">
        <v>3037</v>
      </c>
    </row>
    <row r="212" spans="1:6" x14ac:dyDescent="0.2">
      <c r="A212" s="43" t="s">
        <v>3050</v>
      </c>
    </row>
    <row r="213" spans="1:6" x14ac:dyDescent="0.2">
      <c r="A213" s="43" t="s">
        <v>3051</v>
      </c>
    </row>
    <row r="215" spans="1:6" x14ac:dyDescent="0.2">
      <c r="A215" s="43" t="s">
        <v>3150</v>
      </c>
      <c r="E215" s="43" t="s">
        <v>3149</v>
      </c>
    </row>
    <row r="217" spans="1:6" x14ac:dyDescent="0.2">
      <c r="A217" s="43" t="s">
        <v>3151</v>
      </c>
    </row>
    <row r="219" spans="1:6" x14ac:dyDescent="0.2">
      <c r="C219" s="43" t="s">
        <v>196</v>
      </c>
      <c r="E219" s="725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3038</v>
      </c>
    </row>
    <row r="236" spans="1:1" x14ac:dyDescent="0.2">
      <c r="A236" s="43" t="s">
        <v>3052</v>
      </c>
    </row>
    <row r="237" spans="1:1" x14ac:dyDescent="0.2">
      <c r="A237" s="43" t="s">
        <v>3053</v>
      </c>
    </row>
    <row r="238" spans="1:1" x14ac:dyDescent="0.2">
      <c r="A238" s="43" t="s">
        <v>3054</v>
      </c>
    </row>
    <row r="256" spans="1:1" x14ac:dyDescent="0.2">
      <c r="A256" s="44" t="s">
        <v>3055</v>
      </c>
    </row>
    <row r="261" spans="1:8" x14ac:dyDescent="0.2">
      <c r="A261" s="158" t="s">
        <v>2547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2548</v>
      </c>
    </row>
    <row r="269" spans="1:8" x14ac:dyDescent="0.2">
      <c r="A269" s="43" t="s">
        <v>2549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85" t="s">
        <v>2550</v>
      </c>
      <c r="E276" s="685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2551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2553</v>
      </c>
      <c r="D282" s="43" t="s">
        <v>2552</v>
      </c>
    </row>
    <row r="283" spans="1:7" x14ac:dyDescent="0.2">
      <c r="A283" s="43" t="s">
        <v>2554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2557</v>
      </c>
      <c r="E287" s="44" t="s">
        <v>2556</v>
      </c>
      <c r="F287" s="44" t="s">
        <v>2555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2558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2559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2560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2561</v>
      </c>
    </row>
    <row r="312" spans="1:7" x14ac:dyDescent="0.2">
      <c r="B312" s="48"/>
      <c r="C312" s="47" t="s">
        <v>2562</v>
      </c>
      <c r="D312" s="43" t="s">
        <v>1572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2563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2566</v>
      </c>
      <c r="F345" s="43" t="s">
        <v>2564</v>
      </c>
    </row>
    <row r="346" spans="1:7" x14ac:dyDescent="0.2">
      <c r="C346" s="43" t="s">
        <v>2567</v>
      </c>
      <c r="E346" s="43" t="s">
        <v>2565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2568</v>
      </c>
      <c r="F353" s="77"/>
      <c r="G353" s="77">
        <v>0.04</v>
      </c>
      <c r="H353" s="43" t="s">
        <v>87</v>
      </c>
    </row>
    <row r="354" spans="1:8" x14ac:dyDescent="0.2">
      <c r="C354" s="43" t="s">
        <v>2569</v>
      </c>
      <c r="G354" s="43">
        <v>10</v>
      </c>
      <c r="H354" s="43" t="s">
        <v>89</v>
      </c>
    </row>
    <row r="355" spans="1:8" x14ac:dyDescent="0.2">
      <c r="C355" s="43" t="s">
        <v>2570</v>
      </c>
      <c r="G355" s="43">
        <v>0</v>
      </c>
      <c r="H355" s="43" t="s">
        <v>91</v>
      </c>
    </row>
    <row r="356" spans="1:8" x14ac:dyDescent="0.2">
      <c r="C356" s="43" t="s">
        <v>2571</v>
      </c>
      <c r="G356" s="43">
        <v>-5000</v>
      </c>
      <c r="H356" s="43" t="s">
        <v>281</v>
      </c>
    </row>
    <row r="357" spans="1:8" x14ac:dyDescent="0.2">
      <c r="C357" s="43" t="s">
        <v>2573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2572</v>
      </c>
      <c r="H358" s="43" t="s">
        <v>333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2578</v>
      </c>
      <c r="D379" s="49" t="s">
        <v>2576</v>
      </c>
      <c r="E379" s="49" t="s">
        <v>2575</v>
      </c>
      <c r="F379" s="49" t="s">
        <v>2574</v>
      </c>
      <c r="I379" s="43" t="s">
        <v>2590</v>
      </c>
    </row>
    <row r="380" spans="1:9" x14ac:dyDescent="0.2">
      <c r="A380" s="43" t="s">
        <v>2579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2585</v>
      </c>
    </row>
    <row r="381" spans="1:9" x14ac:dyDescent="0.2">
      <c r="A381" s="43" t="s">
        <v>2580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2586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2587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2588</v>
      </c>
    </row>
    <row r="384" spans="1:9" ht="16" thickBot="1" x14ac:dyDescent="0.25">
      <c r="A384" s="44" t="s">
        <v>2581</v>
      </c>
      <c r="C384" s="50"/>
      <c r="D384" s="583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2589</v>
      </c>
    </row>
    <row r="385" spans="1:8" x14ac:dyDescent="0.2">
      <c r="A385" s="44" t="s">
        <v>2582</v>
      </c>
      <c r="C385" s="47"/>
      <c r="D385" s="685" t="s">
        <v>2577</v>
      </c>
      <c r="E385" s="685"/>
      <c r="F385" s="685"/>
      <c r="G385" s="43" t="s">
        <v>95</v>
      </c>
    </row>
    <row r="386" spans="1:8" x14ac:dyDescent="0.2">
      <c r="A386" s="44" t="s">
        <v>2583</v>
      </c>
    </row>
    <row r="387" spans="1:8" x14ac:dyDescent="0.2">
      <c r="A387" s="44" t="s">
        <v>2584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457</v>
      </c>
      <c r="E406" s="49" t="s">
        <v>456</v>
      </c>
      <c r="F406" s="49" t="s">
        <v>2575</v>
      </c>
      <c r="G406" s="49" t="s">
        <v>2574</v>
      </c>
    </row>
    <row r="407" spans="1:8" x14ac:dyDescent="0.2">
      <c r="A407" s="43" t="s">
        <v>2592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2593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2591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501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85" t="s">
        <v>2594</v>
      </c>
      <c r="E412" s="685"/>
      <c r="F412" s="685"/>
      <c r="G412" s="685"/>
      <c r="H412" s="43" t="s">
        <v>95</v>
      </c>
    </row>
    <row r="414" spans="1:8" x14ac:dyDescent="0.2">
      <c r="A414" s="158" t="s">
        <v>2595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2597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2596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2598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2602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2599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2600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2601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2606</v>
      </c>
      <c r="F461" s="43" t="s">
        <v>2603</v>
      </c>
    </row>
    <row r="462" spans="1:6" x14ac:dyDescent="0.2">
      <c r="D462" s="43" t="s">
        <v>2607</v>
      </c>
      <c r="F462" s="43" t="s">
        <v>2604</v>
      </c>
    </row>
    <row r="463" spans="1:6" x14ac:dyDescent="0.2">
      <c r="D463" s="43" t="s">
        <v>2608</v>
      </c>
      <c r="F463" s="43" t="s">
        <v>2605</v>
      </c>
    </row>
    <row r="464" spans="1:6" x14ac:dyDescent="0.2">
      <c r="D464" s="43" t="s">
        <v>2609</v>
      </c>
    </row>
    <row r="465" spans="1:6" x14ac:dyDescent="0.2">
      <c r="D465" s="43" t="s">
        <v>2605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2610</v>
      </c>
      <c r="E490" s="47"/>
    </row>
    <row r="491" spans="1:8" x14ac:dyDescent="0.2">
      <c r="A491" s="43" t="s">
        <v>2611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437</v>
      </c>
      <c r="E494" s="448">
        <v>0.06</v>
      </c>
      <c r="G494" s="291" t="s">
        <v>87</v>
      </c>
    </row>
    <row r="495" spans="1:8" ht="16" thickBot="1" x14ac:dyDescent="0.25">
      <c r="A495" s="43" t="s">
        <v>204</v>
      </c>
      <c r="E495" s="584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2613</v>
      </c>
      <c r="E496" s="29">
        <v>0</v>
      </c>
      <c r="G496" s="291" t="s">
        <v>91</v>
      </c>
    </row>
    <row r="497" spans="1:8" s="291" customFormat="1" x14ac:dyDescent="0.2">
      <c r="A497" s="291" t="s">
        <v>2612</v>
      </c>
      <c r="E497" s="296">
        <v>-3000</v>
      </c>
      <c r="G497" s="291" t="s">
        <v>93</v>
      </c>
    </row>
    <row r="498" spans="1:8" s="291" customFormat="1" x14ac:dyDescent="0.2">
      <c r="A498" s="291" t="s">
        <v>2614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2615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2628</v>
      </c>
    </row>
    <row r="519" spans="1:6" x14ac:dyDescent="0.2">
      <c r="C519" s="43" t="s">
        <v>752</v>
      </c>
      <c r="D519" s="43" t="s">
        <v>2621</v>
      </c>
      <c r="F519" s="43" t="s">
        <v>2616</v>
      </c>
    </row>
    <row r="520" spans="1:6" x14ac:dyDescent="0.2">
      <c r="C520" s="43" t="s">
        <v>2625</v>
      </c>
      <c r="D520" s="43" t="s">
        <v>2622</v>
      </c>
      <c r="F520" s="43" t="s">
        <v>2617</v>
      </c>
    </row>
    <row r="521" spans="1:6" x14ac:dyDescent="0.2">
      <c r="C521" s="43" t="s">
        <v>2626</v>
      </c>
      <c r="D521" s="43" t="s">
        <v>2623</v>
      </c>
      <c r="F521" s="43" t="s">
        <v>2618</v>
      </c>
    </row>
    <row r="522" spans="1:6" x14ac:dyDescent="0.2">
      <c r="C522" s="43" t="s">
        <v>2627</v>
      </c>
      <c r="D522" s="43" t="s">
        <v>2624</v>
      </c>
      <c r="F522" s="43" t="s">
        <v>2619</v>
      </c>
    </row>
    <row r="523" spans="1:6" x14ac:dyDescent="0.2">
      <c r="F523" s="43" t="s">
        <v>2620</v>
      </c>
    </row>
    <row r="524" spans="1:6" x14ac:dyDescent="0.2">
      <c r="A524" s="43" t="s">
        <v>217</v>
      </c>
    </row>
    <row r="525" spans="1:6" x14ac:dyDescent="0.2">
      <c r="A525" s="43" t="s">
        <v>2629</v>
      </c>
    </row>
    <row r="526" spans="1:6" x14ac:dyDescent="0.2">
      <c r="A526" s="43" t="s">
        <v>2630</v>
      </c>
    </row>
    <row r="528" spans="1:6" x14ac:dyDescent="0.2">
      <c r="C528" s="47" t="s">
        <v>2632</v>
      </c>
      <c r="D528" s="47" t="s">
        <v>115</v>
      </c>
    </row>
    <row r="529" spans="1:7" x14ac:dyDescent="0.2">
      <c r="C529" s="47" t="s">
        <v>2633</v>
      </c>
      <c r="D529" s="47" t="s">
        <v>2631</v>
      </c>
    </row>
    <row r="530" spans="1:7" x14ac:dyDescent="0.2">
      <c r="C530" s="47" t="s">
        <v>2634</v>
      </c>
      <c r="D530" s="47" t="s">
        <v>218</v>
      </c>
    </row>
    <row r="531" spans="1:7" x14ac:dyDescent="0.2">
      <c r="C531" s="49" t="s">
        <v>2635</v>
      </c>
      <c r="D531" s="49">
        <v>8</v>
      </c>
    </row>
    <row r="532" spans="1:7" x14ac:dyDescent="0.2">
      <c r="A532" s="43" t="s">
        <v>2636</v>
      </c>
      <c r="C532" s="585">
        <f>D532</f>
        <v>8.0000000000000002E-3</v>
      </c>
      <c r="D532" s="585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2637</v>
      </c>
      <c r="C534" s="29">
        <v>0</v>
      </c>
      <c r="D534" s="29">
        <v>0</v>
      </c>
      <c r="G534" s="43" t="s">
        <v>91</v>
      </c>
    </row>
    <row r="535" spans="1:7" x14ac:dyDescent="0.2">
      <c r="C535" s="586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50"/>
      <c r="D537" s="450"/>
    </row>
    <row r="538" spans="1:7" ht="16" thickBot="1" x14ac:dyDescent="0.25">
      <c r="C538" s="587">
        <f>FV(C532,C533,C534,C535,C536)</f>
        <v>7498.512931152588</v>
      </c>
      <c r="D538" s="586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7" zoomScale="278" zoomScaleNormal="120" zoomScaleSheetLayoutView="100" workbookViewId="0">
      <selection activeCell="F176" sqref="F176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45361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NPER(B29,B32,B31,B33)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-80000</v>
      </c>
      <c r="C31" s="4" t="s">
        <v>281</v>
      </c>
      <c r="D31" s="7" t="s">
        <v>282</v>
      </c>
      <c r="E31" s="4"/>
      <c r="F31" s="4"/>
    </row>
    <row r="32" spans="1:8" x14ac:dyDescent="0.25">
      <c r="B32" s="4">
        <v>0</v>
      </c>
      <c r="C32" s="4" t="s">
        <v>91</v>
      </c>
      <c r="D32" s="7" t="s">
        <v>283</v>
      </c>
      <c r="E32" s="4"/>
      <c r="F32" s="4"/>
    </row>
    <row r="33" spans="1:8" x14ac:dyDescent="0.25">
      <c r="B33" s="4"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285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286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287</v>
      </c>
      <c r="B38" s="4"/>
      <c r="C38" s="4"/>
      <c r="D38" s="4"/>
      <c r="E38" s="4"/>
      <c r="F38" s="4"/>
    </row>
    <row r="39" spans="1:8" x14ac:dyDescent="0.25">
      <c r="A39" s="1" t="s">
        <v>288</v>
      </c>
      <c r="B39" s="4"/>
      <c r="C39" s="4"/>
      <c r="D39" s="4"/>
      <c r="E39" s="4"/>
      <c r="F39" s="4"/>
    </row>
    <row r="40" spans="1:8" x14ac:dyDescent="0.25">
      <c r="A40" s="1" t="s">
        <v>289</v>
      </c>
      <c r="B40" s="4"/>
      <c r="C40" s="4"/>
      <c r="D40" s="4"/>
      <c r="E40" s="4"/>
      <c r="F40" s="4"/>
    </row>
    <row r="41" spans="1:8" x14ac:dyDescent="0.25">
      <c r="A41" s="1" t="s">
        <v>290</v>
      </c>
      <c r="B41" s="4"/>
      <c r="C41" s="4"/>
      <c r="D41" s="4"/>
      <c r="E41" s="4"/>
      <c r="F41" s="4"/>
    </row>
    <row r="42" spans="1:8" x14ac:dyDescent="0.25">
      <c r="B42" s="4"/>
      <c r="C42" s="4"/>
      <c r="D42" s="4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291</v>
      </c>
      <c r="B44" s="4"/>
      <c r="C44" s="4"/>
      <c r="D44" s="4"/>
      <c r="E44" s="1" t="s">
        <v>292</v>
      </c>
      <c r="F44" s="4"/>
      <c r="G44" s="4"/>
    </row>
    <row r="45" spans="1:8" x14ac:dyDescent="0.25">
      <c r="B45" s="378">
        <f>RATE(B46,B48,B47,B49)</f>
        <v>5.9223841048813515E-2</v>
      </c>
      <c r="C45" s="374" t="s">
        <v>87</v>
      </c>
      <c r="D45" s="4"/>
      <c r="E45" s="378">
        <f>RATE(E46,E48,E47,E49)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v>60</v>
      </c>
      <c r="F46" s="376"/>
      <c r="G46" s="377" t="s">
        <v>89</v>
      </c>
    </row>
    <row r="47" spans="1:8" x14ac:dyDescent="0.25">
      <c r="B47" s="4">
        <v>-6000</v>
      </c>
      <c r="C47" s="4" t="s">
        <v>281</v>
      </c>
      <c r="D47" s="4"/>
      <c r="E47" s="4">
        <v>-6000</v>
      </c>
      <c r="F47" s="4"/>
      <c r="G47" s="4" t="s">
        <v>281</v>
      </c>
    </row>
    <row r="48" spans="1:8" x14ac:dyDescent="0.25">
      <c r="B48" s="4">
        <v>0</v>
      </c>
      <c r="C48" s="4" t="s">
        <v>91</v>
      </c>
      <c r="E48" s="4">
        <v>0</v>
      </c>
      <c r="F48" s="4"/>
      <c r="G48" s="4" t="s">
        <v>91</v>
      </c>
    </row>
    <row r="49" spans="1:8" x14ac:dyDescent="0.25">
      <c r="B49" s="4">
        <v>8000</v>
      </c>
      <c r="C49" s="4" t="s">
        <v>105</v>
      </c>
      <c r="E49" s="4"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293</v>
      </c>
      <c r="B51" s="4"/>
      <c r="C51" s="4"/>
    </row>
    <row r="52" spans="1:8" x14ac:dyDescent="0.25">
      <c r="A52" s="1" t="s">
        <v>294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295</v>
      </c>
    </row>
    <row r="54" spans="1:8" x14ac:dyDescent="0.25">
      <c r="A54" s="1" t="s">
        <v>296</v>
      </c>
      <c r="B54" s="4"/>
      <c r="C54" s="4"/>
      <c r="D54" s="4"/>
      <c r="E54" s="4"/>
      <c r="F54" s="4"/>
    </row>
    <row r="55" spans="1:8" x14ac:dyDescent="0.25">
      <c r="A55" s="1" t="s">
        <v>297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298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299</v>
      </c>
      <c r="B58" s="4"/>
      <c r="C58" s="4"/>
      <c r="D58" s="4"/>
      <c r="E58" s="4"/>
      <c r="F58" s="4"/>
    </row>
    <row r="59" spans="1:8" x14ac:dyDescent="0.25">
      <c r="A59" s="1" t="s">
        <v>300</v>
      </c>
      <c r="B59" s="4"/>
      <c r="C59" s="4"/>
      <c r="D59" s="4"/>
      <c r="E59" s="4"/>
      <c r="F59" s="4"/>
    </row>
    <row r="60" spans="1:8" x14ac:dyDescent="0.25">
      <c r="A60" s="1" t="s">
        <v>301</v>
      </c>
      <c r="B60" s="4"/>
      <c r="C60" s="4"/>
      <c r="D60" s="4"/>
      <c r="E60" s="4"/>
      <c r="F60" s="4"/>
    </row>
    <row r="61" spans="1:8" x14ac:dyDescent="0.25">
      <c r="A61" s="1" t="s">
        <v>302</v>
      </c>
      <c r="B61" s="4"/>
      <c r="C61" s="4"/>
      <c r="D61" s="4"/>
      <c r="E61" s="4"/>
      <c r="F61" s="4"/>
    </row>
    <row r="62" spans="1:8" x14ac:dyDescent="0.25">
      <c r="A62" s="1" t="s">
        <v>303</v>
      </c>
      <c r="B62" s="4"/>
      <c r="C62" s="4"/>
      <c r="D62" s="4"/>
      <c r="E62" s="4"/>
      <c r="F62" s="4"/>
    </row>
    <row r="63" spans="1:8" x14ac:dyDescent="0.25">
      <c r="A63" s="1" t="s">
        <v>304</v>
      </c>
      <c r="B63" s="4"/>
      <c r="C63" s="4"/>
      <c r="D63" s="4"/>
      <c r="E63" s="4"/>
      <c r="F63" s="4"/>
    </row>
    <row r="64" spans="1:8" x14ac:dyDescent="0.25">
      <c r="A64" s="1" t="s">
        <v>305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306</v>
      </c>
      <c r="B67" s="4"/>
      <c r="C67" s="4"/>
      <c r="D67" s="4"/>
      <c r="E67" s="4"/>
      <c r="F67" s="4"/>
    </row>
    <row r="68" spans="1:8" x14ac:dyDescent="0.25">
      <c r="A68" s="1" t="s">
        <v>307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308</v>
      </c>
      <c r="B71" s="25"/>
      <c r="C71" s="25"/>
      <c r="D71" s="25"/>
      <c r="E71" s="4"/>
      <c r="F71" s="4"/>
    </row>
    <row r="72" spans="1:8" x14ac:dyDescent="0.25">
      <c r="A72" s="1" t="s">
        <v>2638</v>
      </c>
      <c r="B72" s="25"/>
      <c r="C72" s="25"/>
      <c r="D72" s="25"/>
      <c r="E72" s="4"/>
      <c r="F72" s="4"/>
    </row>
    <row r="73" spans="1:8" x14ac:dyDescent="0.25">
      <c r="A73" s="1" t="s">
        <v>2639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2642</v>
      </c>
      <c r="C75" s="4" t="s">
        <v>2640</v>
      </c>
      <c r="D75" s="4"/>
      <c r="E75" s="4"/>
      <c r="F75" s="4"/>
    </row>
    <row r="76" spans="1:8" ht="22" thickBot="1" x14ac:dyDescent="0.3">
      <c r="B76" s="4" t="s">
        <v>2643</v>
      </c>
      <c r="C76" s="4" t="s">
        <v>2641</v>
      </c>
      <c r="D76" s="4"/>
      <c r="E76" s="4"/>
      <c r="F76" s="4"/>
    </row>
    <row r="77" spans="1:8" x14ac:dyDescent="0.25">
      <c r="B77" s="380" t="s">
        <v>309</v>
      </c>
      <c r="C77" s="380" t="s">
        <v>310</v>
      </c>
      <c r="E77" s="383"/>
      <c r="F77" s="373" t="s">
        <v>311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312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313</v>
      </c>
      <c r="H79" s="386"/>
    </row>
    <row r="80" spans="1:8" x14ac:dyDescent="0.25">
      <c r="B80" s="430">
        <f>-C82-3000</f>
        <v>-5321.9379107399964</v>
      </c>
      <c r="C80" s="4">
        <v>-2000</v>
      </c>
      <c r="D80" s="4" t="s">
        <v>281</v>
      </c>
      <c r="E80" s="27"/>
      <c r="F80" s="4" t="s">
        <v>314</v>
      </c>
      <c r="H80" s="386"/>
    </row>
    <row r="81" spans="1:8" ht="22" thickBot="1" x14ac:dyDescent="0.3">
      <c r="B81" s="4">
        <v>0</v>
      </c>
      <c r="C81" s="4">
        <v>0</v>
      </c>
      <c r="D81" s="4" t="s">
        <v>91</v>
      </c>
      <c r="E81" s="27"/>
      <c r="F81" s="4" t="s">
        <v>315</v>
      </c>
      <c r="H81" s="386"/>
    </row>
    <row r="82" spans="1:8" ht="22" thickBot="1" x14ac:dyDescent="0.3">
      <c r="B82" s="389">
        <f>FV(B78,B79,B81,B80)</f>
        <v>5820.5251151169123</v>
      </c>
      <c r="C82" s="382">
        <f>FV(C78,C79,C81,C80)</f>
        <v>2321.9379107399968</v>
      </c>
      <c r="D82" s="4" t="s">
        <v>105</v>
      </c>
      <c r="E82" s="375"/>
      <c r="F82" s="376" t="s">
        <v>316</v>
      </c>
      <c r="G82" s="387"/>
      <c r="H82" s="388"/>
    </row>
    <row r="83" spans="1:8" ht="22" thickBot="1" x14ac:dyDescent="0.3">
      <c r="B83" s="390" t="s">
        <v>317</v>
      </c>
      <c r="C83" s="4"/>
      <c r="D83" s="4"/>
      <c r="E83" s="4"/>
      <c r="F83" s="4"/>
    </row>
    <row r="84" spans="1:8" x14ac:dyDescent="0.25">
      <c r="B84" s="4" t="s">
        <v>318</v>
      </c>
      <c r="C84" s="4"/>
      <c r="D84" s="4"/>
      <c r="E84" s="4"/>
      <c r="F84" s="4"/>
    </row>
    <row r="85" spans="1:8" x14ac:dyDescent="0.25">
      <c r="B85" s="4"/>
      <c r="C85" s="4"/>
      <c r="D85" s="4"/>
      <c r="E85" s="4"/>
      <c r="F85" s="4"/>
    </row>
    <row r="86" spans="1:8" x14ac:dyDescent="0.25">
      <c r="A86" s="1" t="s">
        <v>319</v>
      </c>
      <c r="B86" s="4"/>
      <c r="C86" s="4"/>
      <c r="D86" s="4"/>
      <c r="E86" s="4"/>
      <c r="F86" s="4"/>
    </row>
    <row r="87" spans="1:8" x14ac:dyDescent="0.25">
      <c r="A87" s="1" t="s">
        <v>320</v>
      </c>
      <c r="B87" s="4"/>
      <c r="C87" s="4"/>
      <c r="D87" s="4"/>
      <c r="E87" s="4"/>
      <c r="F87" s="4"/>
    </row>
    <row r="88" spans="1:8" x14ac:dyDescent="0.25">
      <c r="B88" s="4"/>
      <c r="C88" s="4"/>
      <c r="D88" s="4"/>
      <c r="E88" s="4"/>
      <c r="F88" s="4"/>
    </row>
    <row r="89" spans="1:8" x14ac:dyDescent="0.25">
      <c r="B89" s="380" t="s">
        <v>309</v>
      </c>
      <c r="F89" s="380" t="s">
        <v>321</v>
      </c>
    </row>
    <row r="90" spans="1:8" x14ac:dyDescent="0.25">
      <c r="B90" s="14">
        <v>0.01</v>
      </c>
      <c r="F90" s="14">
        <v>0.01</v>
      </c>
      <c r="G90" s="4" t="s">
        <v>87</v>
      </c>
    </row>
    <row r="91" spans="1:8" x14ac:dyDescent="0.25">
      <c r="B91" s="4">
        <v>9</v>
      </c>
      <c r="F91" s="4">
        <v>24</v>
      </c>
      <c r="G91" s="4" t="s">
        <v>89</v>
      </c>
    </row>
    <row r="92" spans="1:8" x14ac:dyDescent="0.25">
      <c r="B92" s="4">
        <v>-3000</v>
      </c>
      <c r="F92" s="4">
        <v>-2000</v>
      </c>
      <c r="G92" s="4" t="s">
        <v>281</v>
      </c>
    </row>
    <row r="93" spans="1:8" ht="22" thickBot="1" x14ac:dyDescent="0.3">
      <c r="B93" s="4">
        <v>0</v>
      </c>
      <c r="F93" s="4">
        <v>0</v>
      </c>
      <c r="G93" s="4" t="s">
        <v>91</v>
      </c>
    </row>
    <row r="94" spans="1:8" ht="22" thickBot="1" x14ac:dyDescent="0.3">
      <c r="B94" s="391">
        <f>FV(B90,B91,B93,B92)</f>
        <v>3281.0558180530834</v>
      </c>
      <c r="F94" s="392">
        <f>FV(F90,F91,F93,F92)</f>
        <v>2539.4692970638298</v>
      </c>
      <c r="G94" s="4" t="s">
        <v>105</v>
      </c>
    </row>
    <row r="95" spans="1:8" ht="22" thickBot="1" x14ac:dyDescent="0.3">
      <c r="D95" s="4"/>
      <c r="E95" s="4"/>
      <c r="F95" s="4"/>
    </row>
    <row r="96" spans="1:8" ht="22" thickBot="1" x14ac:dyDescent="0.3">
      <c r="B96" s="4" t="s">
        <v>322</v>
      </c>
      <c r="C96" s="4"/>
      <c r="D96" s="391">
        <f>F94+B94</f>
        <v>5820.5251151169132</v>
      </c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323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324</v>
      </c>
      <c r="B106" s="4"/>
      <c r="C106" s="4"/>
      <c r="D106" s="4"/>
      <c r="E106" s="4"/>
      <c r="F106" s="4"/>
    </row>
    <row r="107" spans="1:8" x14ac:dyDescent="0.25">
      <c r="A107" s="1" t="s">
        <v>325</v>
      </c>
      <c r="B107" s="4"/>
      <c r="C107" s="4"/>
      <c r="D107" s="4"/>
      <c r="E107" s="4"/>
      <c r="F107" s="4"/>
    </row>
    <row r="108" spans="1:8" x14ac:dyDescent="0.25">
      <c r="A108" s="1" t="s">
        <v>2644</v>
      </c>
      <c r="B108" s="4"/>
      <c r="C108" s="4"/>
      <c r="D108" s="4"/>
      <c r="E108" s="4"/>
      <c r="F108" s="4"/>
    </row>
    <row r="109" spans="1:8" x14ac:dyDescent="0.25">
      <c r="A109" s="1" t="s">
        <v>326</v>
      </c>
      <c r="B109" s="4"/>
      <c r="C109" s="4"/>
      <c r="D109" s="4"/>
      <c r="E109" s="4"/>
      <c r="F109" s="4"/>
    </row>
    <row r="110" spans="1:8" x14ac:dyDescent="0.25">
      <c r="A110" s="1" t="s">
        <v>327</v>
      </c>
      <c r="B110" s="4"/>
      <c r="C110" s="4"/>
      <c r="D110" s="4"/>
      <c r="E110" s="4"/>
      <c r="F110" s="4"/>
    </row>
    <row r="111" spans="1:8" x14ac:dyDescent="0.25">
      <c r="A111" s="1" t="s">
        <v>328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2645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2647</v>
      </c>
      <c r="B116" s="4"/>
      <c r="C116" s="393">
        <v>8.0000000000000002E-3</v>
      </c>
      <c r="D116" s="4" t="s">
        <v>87</v>
      </c>
      <c r="E116" s="7" t="s">
        <v>2646</v>
      </c>
      <c r="F116" s="4"/>
    </row>
    <row r="117" spans="1:6" x14ac:dyDescent="0.25">
      <c r="B117" s="4"/>
      <c r="C117" s="4">
        <f>120</f>
        <v>120</v>
      </c>
      <c r="D117" s="4" t="s">
        <v>89</v>
      </c>
      <c r="E117" s="7" t="s">
        <v>329</v>
      </c>
      <c r="F117" s="4"/>
    </row>
    <row r="118" spans="1:6" x14ac:dyDescent="0.25">
      <c r="B118" s="4"/>
      <c r="C118" s="4">
        <v>0</v>
      </c>
      <c r="D118" s="4" t="s">
        <v>281</v>
      </c>
      <c r="E118" s="7" t="s">
        <v>330</v>
      </c>
      <c r="F118" s="4"/>
    </row>
    <row r="119" spans="1:6" x14ac:dyDescent="0.25">
      <c r="B119" s="4"/>
      <c r="C119" s="395">
        <f>PMT(C116,C117,C118,C120,C121)</f>
        <v>-12486.422924872808</v>
      </c>
      <c r="D119" s="4" t="s">
        <v>91</v>
      </c>
      <c r="E119" s="7" t="s">
        <v>331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332</v>
      </c>
      <c r="F120" s="4"/>
    </row>
    <row r="121" spans="1:6" x14ac:dyDescent="0.25">
      <c r="B121" s="4"/>
      <c r="C121" s="4">
        <v>0</v>
      </c>
      <c r="D121" s="4" t="s">
        <v>333</v>
      </c>
      <c r="E121" s="7" t="s">
        <v>334</v>
      </c>
      <c r="F121" s="4"/>
    </row>
    <row r="122" spans="1:6" x14ac:dyDescent="0.25">
      <c r="B122" s="4"/>
      <c r="C122" s="4"/>
      <c r="D122" s="4"/>
      <c r="E122" s="7" t="s">
        <v>335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2648</v>
      </c>
      <c r="B124" s="4"/>
      <c r="C124" s="393">
        <v>8.0000000000000002E-3</v>
      </c>
      <c r="D124" s="4" t="s">
        <v>87</v>
      </c>
      <c r="E124" s="7" t="s">
        <v>2651</v>
      </c>
      <c r="F124" s="4"/>
    </row>
    <row r="125" spans="1:6" x14ac:dyDescent="0.25">
      <c r="B125" s="4"/>
      <c r="C125" s="4">
        <f>120</f>
        <v>120</v>
      </c>
      <c r="D125" s="4" t="s">
        <v>89</v>
      </c>
      <c r="E125" s="7" t="s">
        <v>2650</v>
      </c>
      <c r="F125" s="4"/>
    </row>
    <row r="126" spans="1:6" x14ac:dyDescent="0.25">
      <c r="B126" s="4"/>
      <c r="C126" s="4">
        <v>0</v>
      </c>
      <c r="D126" s="4" t="s">
        <v>281</v>
      </c>
      <c r="E126" s="7" t="s">
        <v>2649</v>
      </c>
      <c r="F126" s="4"/>
    </row>
    <row r="127" spans="1:6" x14ac:dyDescent="0.25">
      <c r="B127" s="4"/>
      <c r="C127" s="395">
        <f>PMT(C124,C125,C126,C128,C129)</f>
        <v>-12387.32433023096</v>
      </c>
      <c r="D127" s="4" t="s">
        <v>91</v>
      </c>
      <c r="E127" s="7"/>
      <c r="F127" s="4"/>
    </row>
    <row r="128" spans="1:6" x14ac:dyDescent="0.25">
      <c r="B128" s="4"/>
      <c r="C128" s="4"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333</v>
      </c>
      <c r="E129" s="7" t="s">
        <v>336</v>
      </c>
      <c r="F129" s="4"/>
    </row>
    <row r="130" spans="1:10" x14ac:dyDescent="0.25">
      <c r="B130" s="4"/>
      <c r="C130" s="4"/>
      <c r="D130" s="4"/>
      <c r="E130" s="7" t="s">
        <v>337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4" t="s">
        <v>338</v>
      </c>
      <c r="B132" s="396"/>
      <c r="C132" s="396"/>
      <c r="D132" s="396"/>
      <c r="E132" s="396"/>
      <c r="F132" s="396"/>
      <c r="G132" s="397"/>
      <c r="H132" s="397"/>
      <c r="I132" s="397"/>
      <c r="J132" s="398"/>
    </row>
    <row r="133" spans="1:10" x14ac:dyDescent="0.25">
      <c r="A133" s="405" t="s">
        <v>339</v>
      </c>
      <c r="B133" s="25"/>
      <c r="C133" s="25"/>
      <c r="D133" s="25"/>
      <c r="E133" s="25"/>
      <c r="F133" s="25"/>
      <c r="G133" s="19"/>
      <c r="H133" s="19"/>
      <c r="I133" s="19"/>
      <c r="J133" s="400"/>
    </row>
    <row r="134" spans="1:10" x14ac:dyDescent="0.25">
      <c r="A134" s="405" t="s">
        <v>340</v>
      </c>
      <c r="B134" s="25"/>
      <c r="C134" s="25"/>
      <c r="D134" s="25"/>
      <c r="E134" s="25"/>
      <c r="F134" s="25"/>
      <c r="G134" s="19"/>
      <c r="H134" s="19"/>
      <c r="I134" s="19"/>
      <c r="J134" s="400"/>
    </row>
    <row r="135" spans="1:10" ht="22" thickBot="1" x14ac:dyDescent="0.3">
      <c r="A135" s="406" t="s">
        <v>341</v>
      </c>
      <c r="B135" s="401"/>
      <c r="C135" s="401"/>
      <c r="D135" s="401"/>
      <c r="E135" s="401"/>
      <c r="F135" s="401"/>
      <c r="G135" s="402"/>
      <c r="H135" s="402"/>
      <c r="I135" s="402"/>
      <c r="J135" s="403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342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343</v>
      </c>
      <c r="B138" s="4"/>
      <c r="C138" s="4"/>
      <c r="D138" s="4"/>
      <c r="E138" s="4"/>
      <c r="F138" s="4"/>
    </row>
    <row r="139" spans="1:10" x14ac:dyDescent="0.25">
      <c r="A139" s="1" t="s">
        <v>344</v>
      </c>
      <c r="B139" s="4"/>
      <c r="C139" s="4"/>
      <c r="D139" s="4"/>
      <c r="E139" s="4"/>
      <c r="F139" s="4"/>
    </row>
    <row r="140" spans="1:10" x14ac:dyDescent="0.25">
      <c r="A140" s="407" t="s">
        <v>345</v>
      </c>
      <c r="B140" s="689" t="s">
        <v>346</v>
      </c>
      <c r="C140" s="689"/>
      <c r="D140" s="4"/>
      <c r="E140" s="4"/>
      <c r="F140" s="4"/>
    </row>
    <row r="141" spans="1:10" x14ac:dyDescent="0.25">
      <c r="A141" s="407" t="s">
        <v>347</v>
      </c>
      <c r="B141" s="408"/>
      <c r="C141" s="408"/>
      <c r="D141" s="4"/>
      <c r="E141" s="4"/>
      <c r="F141" s="4"/>
    </row>
    <row r="142" spans="1:10" x14ac:dyDescent="0.25">
      <c r="A142" s="411" t="s">
        <v>348</v>
      </c>
      <c r="B142" s="412"/>
      <c r="C142" s="412"/>
      <c r="D142" s="412"/>
      <c r="E142" s="412"/>
      <c r="F142" s="412"/>
    </row>
    <row r="143" spans="1:10" x14ac:dyDescent="0.25">
      <c r="A143" s="416" t="s">
        <v>349</v>
      </c>
      <c r="B143" s="417"/>
      <c r="C143" s="417"/>
      <c r="D143" s="417"/>
      <c r="E143" s="417"/>
      <c r="F143" s="417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350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2652</v>
      </c>
      <c r="B147" s="4"/>
      <c r="C147" s="4"/>
      <c r="D147" s="4"/>
      <c r="E147" s="4"/>
      <c r="F147" s="4"/>
    </row>
    <row r="148" spans="1:6" x14ac:dyDescent="0.25">
      <c r="A148" s="1" t="s">
        <v>2653</v>
      </c>
      <c r="B148" s="4"/>
      <c r="C148" s="4"/>
      <c r="D148" s="4"/>
      <c r="E148" s="4"/>
      <c r="F148" s="4"/>
    </row>
    <row r="149" spans="1:6" x14ac:dyDescent="0.25">
      <c r="A149" s="1" t="s">
        <v>2654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88" t="s">
        <v>2657</v>
      </c>
      <c r="D151" s="588" t="s">
        <v>2656</v>
      </c>
      <c r="E151" s="383" t="s">
        <v>2655</v>
      </c>
      <c r="F151" s="374">
        <v>0</v>
      </c>
    </row>
    <row r="152" spans="1:6" x14ac:dyDescent="0.25">
      <c r="B152" s="4"/>
      <c r="C152" s="589"/>
      <c r="D152" s="589"/>
      <c r="E152" s="27"/>
      <c r="F152" s="422"/>
    </row>
    <row r="153" spans="1:6" x14ac:dyDescent="0.25">
      <c r="B153" s="4"/>
      <c r="C153" s="589" t="s">
        <v>2663</v>
      </c>
      <c r="D153" s="589" t="s">
        <v>2661</v>
      </c>
      <c r="E153" s="27" t="s">
        <v>2658</v>
      </c>
      <c r="F153" s="422">
        <v>-10000</v>
      </c>
    </row>
    <row r="154" spans="1:6" x14ac:dyDescent="0.25">
      <c r="B154" s="4"/>
      <c r="C154" s="589" t="s">
        <v>2664</v>
      </c>
      <c r="D154" s="589" t="s">
        <v>2662</v>
      </c>
      <c r="E154" s="27" t="s">
        <v>2659</v>
      </c>
      <c r="F154" s="422"/>
    </row>
    <row r="155" spans="1:6" ht="22" thickBot="1" x14ac:dyDescent="0.3">
      <c r="B155" s="4"/>
      <c r="C155" s="590" t="s">
        <v>2660</v>
      </c>
      <c r="D155" s="590" t="s">
        <v>2660</v>
      </c>
      <c r="E155" s="375" t="s">
        <v>2660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7"/>
      <c r="D159" s="412"/>
      <c r="E159" s="408" t="s">
        <v>351</v>
      </c>
      <c r="F159" s="4"/>
    </row>
    <row r="160" spans="1:6" x14ac:dyDescent="0.25">
      <c r="B160" s="4"/>
      <c r="C160" s="417" t="s">
        <v>352</v>
      </c>
      <c r="D160" s="412" t="s">
        <v>353</v>
      </c>
      <c r="E160" s="408" t="s">
        <v>354</v>
      </c>
      <c r="F160" s="4"/>
    </row>
    <row r="161" spans="1:8" x14ac:dyDescent="0.25">
      <c r="B161" s="4"/>
      <c r="C161" s="418" t="s">
        <v>355</v>
      </c>
      <c r="D161" s="413" t="s">
        <v>356</v>
      </c>
      <c r="E161" s="409" t="s">
        <v>357</v>
      </c>
      <c r="F161" s="4"/>
    </row>
    <row r="162" spans="1:8" x14ac:dyDescent="0.25">
      <c r="B162" s="4"/>
      <c r="C162" s="419">
        <f>D162</f>
        <v>8.0000000000000002E-3</v>
      </c>
      <c r="D162" s="414">
        <f>E162</f>
        <v>8.0000000000000002E-3</v>
      </c>
      <c r="E162" s="410">
        <v>8.0000000000000002E-3</v>
      </c>
      <c r="F162" s="4" t="s">
        <v>87</v>
      </c>
    </row>
    <row r="163" spans="1:8" x14ac:dyDescent="0.25">
      <c r="B163" s="4"/>
      <c r="C163" s="417">
        <v>36</v>
      </c>
      <c r="D163" s="412">
        <v>60</v>
      </c>
      <c r="E163" s="408">
        <v>24</v>
      </c>
      <c r="F163" s="4" t="s">
        <v>89</v>
      </c>
    </row>
    <row r="164" spans="1:8" x14ac:dyDescent="0.25">
      <c r="B164" s="4"/>
      <c r="C164" s="420">
        <f>-D166</f>
        <v>-62020.4813617537</v>
      </c>
      <c r="D164" s="394">
        <f>-E166</f>
        <v>-38450.607520009129</v>
      </c>
      <c r="E164" s="408">
        <v>-10000</v>
      </c>
      <c r="F164" s="4" t="s">
        <v>281</v>
      </c>
    </row>
    <row r="165" spans="1:8" ht="22" thickBot="1" x14ac:dyDescent="0.3">
      <c r="B165" s="4"/>
      <c r="C165" s="417">
        <v>-200</v>
      </c>
      <c r="D165" s="412">
        <v>0</v>
      </c>
      <c r="E165" s="408">
        <v>-1000</v>
      </c>
      <c r="F165" s="4" t="s">
        <v>91</v>
      </c>
    </row>
    <row r="166" spans="1:8" ht="22" thickBot="1" x14ac:dyDescent="0.3">
      <c r="B166" s="4"/>
      <c r="C166" s="421">
        <f>FV(C162,C163,C165,C164,C167)</f>
        <v>90931.281681329478</v>
      </c>
      <c r="D166" s="415">
        <f>FV(D162,D163,D165,D164,D167)</f>
        <v>62020.4813617537</v>
      </c>
      <c r="E166" s="382">
        <f>FV(E162,E163,E165,E164,E167)</f>
        <v>38450.607520009129</v>
      </c>
      <c r="F166" s="4" t="s">
        <v>105</v>
      </c>
    </row>
    <row r="167" spans="1:8" x14ac:dyDescent="0.25">
      <c r="B167" s="4"/>
      <c r="C167" s="417">
        <v>0</v>
      </c>
      <c r="D167" s="412">
        <v>0</v>
      </c>
      <c r="E167" s="408">
        <v>0</v>
      </c>
      <c r="F167" s="4" t="s">
        <v>333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358</v>
      </c>
      <c r="B169" s="25"/>
      <c r="C169" s="25"/>
      <c r="D169" s="25"/>
      <c r="E169" s="4"/>
      <c r="F169" s="4"/>
    </row>
    <row r="170" spans="1:8" x14ac:dyDescent="0.25">
      <c r="A170" s="19" t="s">
        <v>359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360</v>
      </c>
      <c r="B175" s="364"/>
      <c r="C175" s="364"/>
      <c r="D175" s="364"/>
      <c r="E175" s="364"/>
      <c r="F175" s="364" t="s">
        <v>805</v>
      </c>
      <c r="G175" s="365"/>
      <c r="H175" s="365"/>
    </row>
    <row r="176" spans="1:8" x14ac:dyDescent="0.25">
      <c r="A176" s="1" t="s">
        <v>361</v>
      </c>
      <c r="B176" s="4"/>
      <c r="C176" s="4"/>
      <c r="D176" s="4"/>
      <c r="E176" s="4"/>
      <c r="F176" s="4"/>
    </row>
    <row r="177" spans="1:10" x14ac:dyDescent="0.25">
      <c r="A177" s="1" t="s">
        <v>362</v>
      </c>
      <c r="B177" s="4"/>
      <c r="C177" s="4"/>
      <c r="D177" s="4"/>
      <c r="E177" s="4"/>
      <c r="F177" s="4"/>
    </row>
    <row r="178" spans="1:10" x14ac:dyDescent="0.25">
      <c r="A178" s="1" t="s">
        <v>326</v>
      </c>
      <c r="B178" s="4"/>
      <c r="C178" s="4"/>
      <c r="D178" s="4"/>
      <c r="E178" s="4"/>
      <c r="F178" s="4"/>
    </row>
    <row r="179" spans="1:10" x14ac:dyDescent="0.25">
      <c r="A179" s="1" t="s">
        <v>363</v>
      </c>
      <c r="B179" s="4"/>
      <c r="C179" s="4"/>
      <c r="D179" s="4"/>
      <c r="E179" s="4"/>
      <c r="F179" s="4"/>
    </row>
    <row r="180" spans="1:10" x14ac:dyDescent="0.25">
      <c r="A180" s="1" t="s">
        <v>364</v>
      </c>
      <c r="B180" s="4"/>
      <c r="C180" s="4"/>
      <c r="D180" s="4"/>
      <c r="E180" s="4"/>
      <c r="F180" s="4"/>
    </row>
    <row r="181" spans="1:10" x14ac:dyDescent="0.25">
      <c r="A181" s="1" t="s">
        <v>365</v>
      </c>
      <c r="B181" s="4"/>
      <c r="C181" s="4"/>
      <c r="D181" s="4"/>
      <c r="E181" s="4"/>
      <c r="F181" s="4"/>
    </row>
    <row r="182" spans="1:10" x14ac:dyDescent="0.25">
      <c r="A182" s="1" t="s">
        <v>366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24" t="s">
        <v>367</v>
      </c>
      <c r="B186" s="4" t="s">
        <v>368</v>
      </c>
      <c r="C186" s="426" t="s">
        <v>369</v>
      </c>
      <c r="D186" s="4" t="s">
        <v>370</v>
      </c>
      <c r="E186" s="4" t="s">
        <v>371</v>
      </c>
      <c r="F186" s="4"/>
      <c r="G186" s="426" t="s">
        <v>372</v>
      </c>
      <c r="H186" s="4" t="s">
        <v>373</v>
      </c>
    </row>
    <row r="187" spans="1:10" x14ac:dyDescent="0.25">
      <c r="A187" s="427">
        <v>0.04</v>
      </c>
      <c r="B187" s="374" t="s">
        <v>87</v>
      </c>
      <c r="C187" s="383"/>
      <c r="D187" s="429">
        <f>E187</f>
        <v>0.04</v>
      </c>
      <c r="E187" s="429">
        <v>0.04</v>
      </c>
      <c r="F187" s="374" t="s">
        <v>374</v>
      </c>
      <c r="G187" s="383"/>
      <c r="H187" s="429">
        <f>E187</f>
        <v>0.04</v>
      </c>
      <c r="I187" s="373" t="s">
        <v>374</v>
      </c>
      <c r="J187" s="385"/>
    </row>
    <row r="188" spans="1:10" x14ac:dyDescent="0.25">
      <c r="A188" s="27">
        <v>5</v>
      </c>
      <c r="B188" s="422" t="s">
        <v>89</v>
      </c>
      <c r="C188" s="27"/>
      <c r="D188" s="4">
        <v>3</v>
      </c>
      <c r="E188" s="4">
        <v>2</v>
      </c>
      <c r="F188" s="422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-40000</v>
      </c>
      <c r="B189" s="422" t="s">
        <v>281</v>
      </c>
      <c r="C189" s="27"/>
      <c r="D189" s="431">
        <f>-E191-10000</f>
        <v>-53264.000000000007</v>
      </c>
      <c r="E189" s="4">
        <v>-40000</v>
      </c>
      <c r="F189" s="422" t="s">
        <v>281</v>
      </c>
      <c r="G189" s="28"/>
      <c r="H189" s="4">
        <v>-70000</v>
      </c>
      <c r="I189" s="4" t="s">
        <v>281</v>
      </c>
      <c r="J189" s="386"/>
    </row>
    <row r="190" spans="1:10" x14ac:dyDescent="0.25">
      <c r="A190" s="27">
        <v>0</v>
      </c>
      <c r="B190" s="422" t="s">
        <v>91</v>
      </c>
      <c r="C190" s="27"/>
      <c r="D190" s="4">
        <v>0</v>
      </c>
      <c r="E190" s="4">
        <v>0</v>
      </c>
      <c r="F190" s="422" t="s">
        <v>91</v>
      </c>
      <c r="G190" s="28"/>
      <c r="H190" s="4">
        <v>0</v>
      </c>
      <c r="I190" s="4" t="s">
        <v>91</v>
      </c>
      <c r="J190" s="386"/>
    </row>
    <row r="191" spans="1:10" x14ac:dyDescent="0.25">
      <c r="A191" s="428">
        <f>FV(A187,A188,A190,A189)</f>
        <v>48666.116096000012</v>
      </c>
      <c r="B191" s="422" t="s">
        <v>105</v>
      </c>
      <c r="C191" s="27"/>
      <c r="D191" s="425">
        <f>FV(D187,D188,D190,D189)</f>
        <v>59914.756096000012</v>
      </c>
      <c r="E191" s="428">
        <f>FV(E187,E188,E190,E189)</f>
        <v>43264.000000000007</v>
      </c>
      <c r="F191" s="422" t="s">
        <v>105</v>
      </c>
      <c r="G191" s="28"/>
      <c r="H191" s="428">
        <f>FV(H187,H188,H190,H189)</f>
        <v>81890.099200000011</v>
      </c>
      <c r="I191" s="4" t="s">
        <v>105</v>
      </c>
      <c r="J191" s="386"/>
    </row>
    <row r="192" spans="1:10" x14ac:dyDescent="0.25">
      <c r="A192" s="399" t="s">
        <v>375</v>
      </c>
      <c r="B192" s="422"/>
      <c r="C192" s="27"/>
      <c r="D192" s="399" t="s">
        <v>375</v>
      </c>
      <c r="E192" s="4"/>
      <c r="F192" s="422"/>
      <c r="G192" s="28"/>
      <c r="H192" s="399" t="s">
        <v>375</v>
      </c>
      <c r="J192" s="386"/>
    </row>
    <row r="193" spans="1:10" x14ac:dyDescent="0.25">
      <c r="A193" s="28" t="s">
        <v>376</v>
      </c>
      <c r="B193" s="422"/>
      <c r="C193" s="27"/>
      <c r="D193" s="1" t="s">
        <v>376</v>
      </c>
      <c r="E193" s="4"/>
      <c r="F193" s="422"/>
      <c r="G193" s="28" t="s">
        <v>376</v>
      </c>
      <c r="J193" s="386"/>
    </row>
    <row r="194" spans="1:10" ht="22" thickBot="1" x14ac:dyDescent="0.3">
      <c r="A194" s="423"/>
      <c r="B194" s="377" t="s">
        <v>377</v>
      </c>
      <c r="C194" s="375"/>
      <c r="D194" s="376"/>
      <c r="E194" s="376" t="s">
        <v>377</v>
      </c>
      <c r="F194" s="377"/>
      <c r="G194" s="423"/>
      <c r="H194" s="387" t="s">
        <v>377</v>
      </c>
      <c r="I194" s="387"/>
      <c r="J194" s="388"/>
    </row>
    <row r="195" spans="1:10" x14ac:dyDescent="0.25">
      <c r="A195" s="1" t="s">
        <v>378</v>
      </c>
      <c r="B195" s="430">
        <f>100000-A191</f>
        <v>51333.883903999988</v>
      </c>
      <c r="C195" s="4"/>
      <c r="D195" s="1" t="s">
        <v>378</v>
      </c>
      <c r="E195" s="430">
        <f>100000-D191</f>
        <v>40085.243903999988</v>
      </c>
      <c r="F195" s="4"/>
      <c r="H195" s="1" t="s">
        <v>378</v>
      </c>
      <c r="I195" s="690">
        <f>100000-H191</f>
        <v>18109.900799999989</v>
      </c>
      <c r="J195" s="690"/>
    </row>
    <row r="196" spans="1:10" x14ac:dyDescent="0.25">
      <c r="B196" s="430"/>
      <c r="C196" s="4"/>
      <c r="E196" s="430"/>
      <c r="F196" s="4"/>
      <c r="I196" s="430"/>
      <c r="J196" s="430"/>
    </row>
    <row r="197" spans="1:10" x14ac:dyDescent="0.25">
      <c r="B197" s="4"/>
      <c r="C197" s="4"/>
      <c r="D197" s="4"/>
      <c r="E197" s="4"/>
      <c r="F197" s="4"/>
      <c r="G197" s="1" t="s">
        <v>379</v>
      </c>
    </row>
    <row r="198" spans="1:10" x14ac:dyDescent="0.25">
      <c r="B198" s="4"/>
      <c r="C198" s="4"/>
      <c r="D198" s="4"/>
      <c r="E198" s="4"/>
      <c r="F198" s="4"/>
      <c r="G198" s="1" t="s">
        <v>380</v>
      </c>
    </row>
    <row r="199" spans="1:10" x14ac:dyDescent="0.25">
      <c r="B199" s="4"/>
      <c r="C199" s="4"/>
      <c r="D199" s="4"/>
      <c r="E199" s="4"/>
      <c r="F199" s="4"/>
      <c r="G199" s="1" t="s">
        <v>381</v>
      </c>
    </row>
    <row r="200" spans="1:10" x14ac:dyDescent="0.25">
      <c r="B200" s="4"/>
      <c r="C200" s="4"/>
      <c r="D200" s="4"/>
      <c r="E200" s="4"/>
      <c r="F200" s="4"/>
      <c r="G200" s="1" t="s">
        <v>382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32" t="s">
        <v>383</v>
      </c>
      <c r="B202" s="433"/>
      <c r="C202" s="433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384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385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386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387</v>
      </c>
      <c r="C206" s="4"/>
      <c r="D206" s="4"/>
      <c r="E206" s="4"/>
      <c r="F206" s="4"/>
      <c r="J206" s="386"/>
    </row>
    <row r="207" spans="1:10" ht="22" thickBot="1" x14ac:dyDescent="0.3">
      <c r="A207" s="423"/>
      <c r="B207" s="434" t="s">
        <v>388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389</v>
      </c>
      <c r="B214" s="364"/>
      <c r="C214" s="364"/>
      <c r="D214" s="364"/>
      <c r="E214" s="366" t="s">
        <v>390</v>
      </c>
      <c r="F214" s="364"/>
      <c r="G214" s="365"/>
      <c r="H214" s="365"/>
    </row>
    <row r="215" spans="1:8" x14ac:dyDescent="0.25">
      <c r="A215" s="1" t="s">
        <v>391</v>
      </c>
      <c r="B215" s="4"/>
      <c r="C215" s="4"/>
      <c r="D215" s="4"/>
      <c r="E215" s="4"/>
      <c r="F215" s="4"/>
    </row>
    <row r="216" spans="1:8" x14ac:dyDescent="0.25">
      <c r="A216" s="1" t="s">
        <v>392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393</v>
      </c>
      <c r="D219" s="4" t="s">
        <v>394</v>
      </c>
      <c r="E219" s="4"/>
      <c r="F219" s="4"/>
    </row>
    <row r="220" spans="1:8" x14ac:dyDescent="0.25">
      <c r="B220" s="4"/>
      <c r="C220" s="393">
        <f>D220</f>
        <v>4.4999999999999997E-3</v>
      </c>
      <c r="D220" s="393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333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395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396</v>
      </c>
      <c r="B229" s="364"/>
      <c r="C229" s="364"/>
      <c r="D229" s="364"/>
      <c r="E229" s="366" t="s">
        <v>390</v>
      </c>
      <c r="F229" s="364"/>
      <c r="G229" s="365"/>
      <c r="H229" s="365"/>
    </row>
    <row r="230" spans="1:8" x14ac:dyDescent="0.25">
      <c r="A230" s="1" t="s">
        <v>397</v>
      </c>
      <c r="B230" s="4"/>
      <c r="C230" s="4"/>
      <c r="D230" s="4"/>
      <c r="E230" s="4"/>
      <c r="F230" s="4"/>
    </row>
    <row r="231" spans="1:8" x14ac:dyDescent="0.25">
      <c r="A231" s="1" t="s">
        <v>398</v>
      </c>
      <c r="B231" s="4"/>
      <c r="C231" s="4"/>
      <c r="D231" s="4"/>
      <c r="E231" s="4"/>
      <c r="F231" s="4"/>
    </row>
    <row r="232" spans="1:8" x14ac:dyDescent="0.25">
      <c r="A232" s="1" t="s">
        <v>399</v>
      </c>
      <c r="B232" s="4"/>
      <c r="C232" s="4"/>
      <c r="D232" s="4"/>
      <c r="E232" s="4"/>
      <c r="F232" s="4"/>
    </row>
    <row r="233" spans="1:8" x14ac:dyDescent="0.25">
      <c r="A233" s="1" t="s">
        <v>400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394</v>
      </c>
      <c r="E236" s="4"/>
      <c r="F236" s="4"/>
    </row>
    <row r="237" spans="1:8" x14ac:dyDescent="0.25">
      <c r="B237" s="4"/>
      <c r="C237" s="4"/>
      <c r="D237" s="393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333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401</v>
      </c>
      <c r="B245" s="364"/>
      <c r="C245" s="364"/>
      <c r="D245" s="364"/>
      <c r="E245" s="366" t="s">
        <v>390</v>
      </c>
      <c r="F245" s="364"/>
      <c r="G245" s="365"/>
      <c r="H245" s="365"/>
    </row>
    <row r="246" spans="1:8" x14ac:dyDescent="0.25">
      <c r="A246" s="1" t="s">
        <v>402</v>
      </c>
      <c r="B246" s="4"/>
      <c r="C246" s="4"/>
      <c r="D246" s="4"/>
      <c r="E246" s="4"/>
      <c r="F246" s="4"/>
    </row>
    <row r="247" spans="1:8" x14ac:dyDescent="0.25">
      <c r="A247" s="1" t="s">
        <v>403</v>
      </c>
      <c r="B247" s="4"/>
      <c r="C247" s="4"/>
      <c r="D247" s="4"/>
      <c r="E247" s="4"/>
      <c r="F247" s="4"/>
    </row>
    <row r="248" spans="1:8" x14ac:dyDescent="0.25">
      <c r="A248" s="1" t="s">
        <v>404</v>
      </c>
      <c r="B248" s="4"/>
      <c r="C248" s="4"/>
      <c r="D248" s="4"/>
      <c r="E248" s="4"/>
      <c r="F248" s="4"/>
    </row>
    <row r="249" spans="1:8" x14ac:dyDescent="0.25">
      <c r="A249" s="1" t="s">
        <v>405</v>
      </c>
      <c r="B249" s="4"/>
      <c r="C249" s="4"/>
      <c r="D249" s="4"/>
      <c r="E249" s="4"/>
      <c r="F249" s="4"/>
    </row>
    <row r="250" spans="1:8" x14ac:dyDescent="0.25">
      <c r="A250" s="1" t="s">
        <v>406</v>
      </c>
      <c r="B250" s="4"/>
      <c r="C250" s="4"/>
      <c r="D250" s="4"/>
      <c r="E250" s="4"/>
      <c r="F250" s="4"/>
    </row>
    <row r="251" spans="1:8" x14ac:dyDescent="0.25">
      <c r="A251" s="1" t="s">
        <v>407</v>
      </c>
      <c r="B251" s="4"/>
      <c r="C251" s="4"/>
      <c r="D251" s="4"/>
      <c r="E251" s="4"/>
      <c r="F251" s="4"/>
    </row>
    <row r="252" spans="1:8" x14ac:dyDescent="0.25">
      <c r="A252" s="1" t="s">
        <v>408</v>
      </c>
      <c r="B252" s="4"/>
      <c r="C252" s="4"/>
      <c r="D252" s="4"/>
      <c r="E252" s="4"/>
      <c r="F252" s="4"/>
    </row>
    <row r="253" spans="1:8" x14ac:dyDescent="0.25">
      <c r="A253" s="1" t="s">
        <v>409</v>
      </c>
      <c r="B253" s="4"/>
      <c r="C253" s="4"/>
      <c r="D253" s="4"/>
      <c r="E253" s="4"/>
      <c r="F253" s="4"/>
    </row>
    <row r="254" spans="1:8" x14ac:dyDescent="0.25">
      <c r="A254" s="1" t="s">
        <v>410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411</v>
      </c>
      <c r="F256" s="4"/>
    </row>
    <row r="257" spans="1:8" x14ac:dyDescent="0.25">
      <c r="B257" s="4"/>
      <c r="C257" s="4"/>
      <c r="D257" s="393"/>
      <c r="E257" s="393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333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412</v>
      </c>
      <c r="B264" s="4"/>
      <c r="C264" s="381">
        <f>500000-E261</f>
        <v>26611.530423021992</v>
      </c>
      <c r="D264" s="7" t="s">
        <v>413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414</v>
      </c>
      <c r="B271" s="364"/>
      <c r="C271" s="364"/>
      <c r="D271" s="364"/>
      <c r="E271" s="366" t="s">
        <v>390</v>
      </c>
      <c r="F271" s="364"/>
      <c r="G271" s="365"/>
      <c r="H271" s="365"/>
    </row>
    <row r="272" spans="1:8" x14ac:dyDescent="0.25">
      <c r="A272" s="1" t="s">
        <v>415</v>
      </c>
      <c r="B272" s="4"/>
      <c r="C272" s="4"/>
      <c r="D272" s="4"/>
      <c r="E272" s="4"/>
      <c r="F272" s="4"/>
    </row>
    <row r="273" spans="1:8" x14ac:dyDescent="0.25">
      <c r="A273" s="1" t="s">
        <v>416</v>
      </c>
      <c r="B273" s="4"/>
      <c r="C273" s="4"/>
      <c r="D273" s="4"/>
      <c r="E273" s="4"/>
      <c r="F273" s="4"/>
    </row>
    <row r="274" spans="1:8" x14ac:dyDescent="0.25">
      <c r="A274" s="1" t="s">
        <v>417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418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419</v>
      </c>
      <c r="F278" s="4"/>
    </row>
    <row r="279" spans="1:8" x14ac:dyDescent="0.25">
      <c r="B279" s="4"/>
      <c r="C279" s="4"/>
      <c r="D279" s="4"/>
      <c r="E279" s="435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420</v>
      </c>
      <c r="B285" s="4"/>
      <c r="C285" s="4"/>
      <c r="D285" s="4" t="s">
        <v>421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4" t="s">
        <v>422</v>
      </c>
      <c r="B288" s="436"/>
      <c r="C288" s="436"/>
      <c r="D288" s="436"/>
      <c r="E288" s="436"/>
      <c r="F288" s="436"/>
      <c r="G288" s="437"/>
      <c r="H288" s="438"/>
    </row>
    <row r="289" spans="1:8" x14ac:dyDescent="0.25">
      <c r="A289" s="405" t="s">
        <v>423</v>
      </c>
      <c r="B289" s="439"/>
      <c r="C289" s="439"/>
      <c r="D289" s="439"/>
      <c r="E289" s="439"/>
      <c r="F289" s="439"/>
      <c r="G289" s="372"/>
      <c r="H289" s="440"/>
    </row>
    <row r="290" spans="1:8" x14ac:dyDescent="0.25">
      <c r="A290" s="405" t="s">
        <v>424</v>
      </c>
      <c r="B290" s="439"/>
      <c r="C290" s="439"/>
      <c r="D290" s="439"/>
      <c r="E290" s="439"/>
      <c r="F290" s="439"/>
      <c r="G290" s="372"/>
      <c r="H290" s="440"/>
    </row>
    <row r="291" spans="1:8" x14ac:dyDescent="0.25">
      <c r="A291" s="405" t="s">
        <v>425</v>
      </c>
      <c r="B291" s="439"/>
      <c r="C291" s="439"/>
      <c r="D291" s="439"/>
      <c r="E291" s="439"/>
      <c r="F291" s="439"/>
      <c r="G291" s="372"/>
      <c r="H291" s="440"/>
    </row>
    <row r="292" spans="1:8" ht="22" thickBot="1" x14ac:dyDescent="0.3">
      <c r="A292" s="406" t="s">
        <v>426</v>
      </c>
      <c r="B292" s="441"/>
      <c r="C292" s="441"/>
      <c r="D292" s="441"/>
      <c r="E292" s="441"/>
      <c r="F292" s="441"/>
      <c r="G292" s="442"/>
      <c r="H292" s="443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691" t="s">
        <v>427</v>
      </c>
      <c r="B300" s="691"/>
      <c r="C300" s="691"/>
      <c r="D300" s="691"/>
      <c r="E300" s="691"/>
      <c r="F300" s="691"/>
      <c r="G300" s="691"/>
      <c r="H300" s="691"/>
    </row>
    <row r="302" spans="1:8" x14ac:dyDescent="0.25">
      <c r="A302" s="2" t="s">
        <v>428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429</v>
      </c>
    </row>
    <row r="304" spans="1:8" x14ac:dyDescent="0.25">
      <c r="A304" s="1" t="s">
        <v>430</v>
      </c>
    </row>
    <row r="305" spans="1:8" x14ac:dyDescent="0.25">
      <c r="A305" s="1" t="s">
        <v>431</v>
      </c>
    </row>
    <row r="306" spans="1:8" x14ac:dyDescent="0.25">
      <c r="A306" s="1" t="s">
        <v>432</v>
      </c>
    </row>
    <row r="307" spans="1:8" x14ac:dyDescent="0.25">
      <c r="A307" s="1" t="s">
        <v>433</v>
      </c>
    </row>
    <row r="312" spans="1:8" x14ac:dyDescent="0.25">
      <c r="A312" s="2" t="s">
        <v>434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435</v>
      </c>
    </row>
    <row r="315" spans="1:8" x14ac:dyDescent="0.25">
      <c r="A315" s="1">
        <v>1000</v>
      </c>
      <c r="B315" s="4" t="s">
        <v>34</v>
      </c>
      <c r="C315" s="1" t="s">
        <v>436</v>
      </c>
    </row>
    <row r="316" spans="1:8" x14ac:dyDescent="0.25">
      <c r="A316" s="5">
        <v>0.15</v>
      </c>
      <c r="B316" s="4" t="s">
        <v>67</v>
      </c>
      <c r="C316" s="1" t="s">
        <v>437</v>
      </c>
    </row>
    <row r="317" spans="1:8" x14ac:dyDescent="0.25">
      <c r="A317" s="1">
        <v>3</v>
      </c>
      <c r="B317" s="4" t="s">
        <v>69</v>
      </c>
      <c r="C317" s="1" t="s">
        <v>438</v>
      </c>
    </row>
    <row r="319" spans="1:8" x14ac:dyDescent="0.25">
      <c r="A319" s="3" t="s">
        <v>439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440</v>
      </c>
    </row>
    <row r="320" spans="1:8" x14ac:dyDescent="0.25">
      <c r="A320" s="3" t="s">
        <v>441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442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443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444</v>
      </c>
    </row>
    <row r="327" spans="1:9" x14ac:dyDescent="0.25">
      <c r="A327" s="1" t="s">
        <v>445</v>
      </c>
    </row>
    <row r="328" spans="1:9" x14ac:dyDescent="0.25">
      <c r="A328" s="1" t="s">
        <v>446</v>
      </c>
    </row>
    <row r="329" spans="1:9" x14ac:dyDescent="0.25">
      <c r="A329" s="1" t="s">
        <v>447</v>
      </c>
    </row>
    <row r="330" spans="1:9" x14ac:dyDescent="0.25">
      <c r="A330" s="1" t="s">
        <v>448</v>
      </c>
    </row>
    <row r="331" spans="1:9" x14ac:dyDescent="0.25">
      <c r="A331" s="1" t="s">
        <v>449</v>
      </c>
    </row>
    <row r="333" spans="1:9" x14ac:dyDescent="0.25">
      <c r="A333" s="1" t="s">
        <v>450</v>
      </c>
    </row>
    <row r="334" spans="1:9" x14ac:dyDescent="0.25">
      <c r="A334" s="1" t="s">
        <v>451</v>
      </c>
    </row>
    <row r="338" spans="1:8" x14ac:dyDescent="0.25">
      <c r="A338" s="2" t="s">
        <v>452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435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453</v>
      </c>
      <c r="C342" s="13" t="s">
        <v>454</v>
      </c>
    </row>
    <row r="343" spans="1:8" x14ac:dyDescent="0.25">
      <c r="A343" s="1" t="s">
        <v>455</v>
      </c>
      <c r="B343" s="14">
        <v>0.01</v>
      </c>
      <c r="C343" s="4">
        <v>8</v>
      </c>
    </row>
    <row r="344" spans="1:8" x14ac:dyDescent="0.25">
      <c r="A344" s="1" t="s">
        <v>456</v>
      </c>
      <c r="B344" s="15">
        <v>1.4999999999999999E-2</v>
      </c>
      <c r="C344" s="4">
        <v>4</v>
      </c>
    </row>
    <row r="345" spans="1:8" x14ac:dyDescent="0.25">
      <c r="A345" s="1" t="s">
        <v>457</v>
      </c>
      <c r="B345" s="14">
        <v>0.02</v>
      </c>
      <c r="C345" s="4">
        <v>4</v>
      </c>
    </row>
    <row r="347" spans="1:8" x14ac:dyDescent="0.25">
      <c r="A347" s="1" t="s">
        <v>458</v>
      </c>
      <c r="H347" s="1" t="s">
        <v>459</v>
      </c>
    </row>
    <row r="349" spans="1:8" x14ac:dyDescent="0.25">
      <c r="A349" s="3" t="s">
        <v>460</v>
      </c>
      <c r="B349" s="16"/>
      <c r="C349" s="17">
        <f>200000*(1+1%)^8*(1+1.5%)^4*(1+2%)^4</f>
        <v>248808.86034078262</v>
      </c>
      <c r="D349" s="7" t="s">
        <v>461</v>
      </c>
      <c r="H349" s="1" t="str">
        <f ca="1">_xlfn.FORMULATEXT(C349)</f>
        <v>=200000*(1+1%)^8*(1+1.5%)^4*(1+2%)^4</v>
      </c>
    </row>
    <row r="351" spans="1:8" x14ac:dyDescent="0.25">
      <c r="A351" s="3" t="s">
        <v>462</v>
      </c>
      <c r="C351" s="1" t="s">
        <v>463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464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465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466</v>
      </c>
      <c r="B355" s="7"/>
    </row>
    <row r="356" spans="1:8" x14ac:dyDescent="0.25">
      <c r="A356" s="1" t="s">
        <v>467</v>
      </c>
      <c r="B356" s="7"/>
    </row>
    <row r="357" spans="1:8" x14ac:dyDescent="0.25">
      <c r="A357" s="1" t="s">
        <v>468</v>
      </c>
      <c r="B357" s="7"/>
    </row>
    <row r="358" spans="1:8" x14ac:dyDescent="0.25">
      <c r="A358" s="1" t="s">
        <v>469</v>
      </c>
      <c r="B358" s="7"/>
    </row>
    <row r="359" spans="1:8" x14ac:dyDescent="0.25">
      <c r="A359" s="1" t="s">
        <v>470</v>
      </c>
      <c r="B359" s="7"/>
    </row>
    <row r="360" spans="1:8" x14ac:dyDescent="0.25">
      <c r="A360" s="1" t="s">
        <v>471</v>
      </c>
      <c r="B360" s="7"/>
    </row>
    <row r="361" spans="1:8" x14ac:dyDescent="0.25">
      <c r="B361" s="7"/>
    </row>
    <row r="362" spans="1:8" x14ac:dyDescent="0.25">
      <c r="A362" s="2" t="s">
        <v>472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473</v>
      </c>
      <c r="B363" s="7"/>
    </row>
    <row r="364" spans="1:8" x14ac:dyDescent="0.25">
      <c r="A364" s="1" t="s">
        <v>474</v>
      </c>
      <c r="B364" s="7"/>
    </row>
    <row r="365" spans="1:8" x14ac:dyDescent="0.25">
      <c r="A365" s="1" t="s">
        <v>475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476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477</v>
      </c>
    </row>
    <row r="372" spans="1:6" x14ac:dyDescent="0.25">
      <c r="B372" s="1" t="s">
        <v>478</v>
      </c>
      <c r="E372" s="4" t="s">
        <v>87</v>
      </c>
    </row>
    <row r="373" spans="1:6" x14ac:dyDescent="0.25">
      <c r="B373" s="1" t="s">
        <v>479</v>
      </c>
      <c r="E373" s="4" t="s">
        <v>89</v>
      </c>
    </row>
    <row r="375" spans="1:6" x14ac:dyDescent="0.25">
      <c r="A375" s="3" t="s">
        <v>435</v>
      </c>
      <c r="B375" s="7"/>
    </row>
    <row r="376" spans="1:6" x14ac:dyDescent="0.25">
      <c r="A376" s="12">
        <v>20000</v>
      </c>
      <c r="B376" s="4" t="s">
        <v>34</v>
      </c>
      <c r="C376" s="1" t="s">
        <v>480</v>
      </c>
    </row>
    <row r="377" spans="1:6" x14ac:dyDescent="0.25">
      <c r="A377" s="1">
        <v>3</v>
      </c>
      <c r="B377" s="4" t="s">
        <v>69</v>
      </c>
      <c r="C377" s="1" t="s">
        <v>438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481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482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483</v>
      </c>
    </row>
    <row r="387" spans="1:8" x14ac:dyDescent="0.25">
      <c r="A387" s="21" t="s">
        <v>484</v>
      </c>
      <c r="B387" s="7"/>
    </row>
    <row r="388" spans="1:8" x14ac:dyDescent="0.25">
      <c r="A388" s="21" t="s">
        <v>485</v>
      </c>
      <c r="B388" s="7"/>
    </row>
    <row r="389" spans="1:8" x14ac:dyDescent="0.25">
      <c r="A389" s="22" t="s">
        <v>486</v>
      </c>
      <c r="B389" s="7"/>
    </row>
    <row r="390" spans="1:8" x14ac:dyDescent="0.25">
      <c r="A390" s="21"/>
      <c r="B390" s="7"/>
    </row>
    <row r="391" spans="1:8" x14ac:dyDescent="0.25">
      <c r="A391" s="2" t="s">
        <v>487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435</v>
      </c>
      <c r="B393" s="7"/>
    </row>
    <row r="394" spans="1:8" x14ac:dyDescent="0.25">
      <c r="A394" s="24">
        <v>50000</v>
      </c>
      <c r="B394" s="4" t="s">
        <v>34</v>
      </c>
      <c r="C394" s="1" t="s">
        <v>480</v>
      </c>
    </row>
    <row r="395" spans="1:8" x14ac:dyDescent="0.25">
      <c r="A395" s="22">
        <v>3.3500000000000002E-2</v>
      </c>
      <c r="B395" s="4" t="s">
        <v>67</v>
      </c>
      <c r="C395" s="1" t="s">
        <v>488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489</v>
      </c>
      <c r="B398" s="368">
        <f>NPER(A395,0,-A394,A396)</f>
        <v>42.071261816544059</v>
      </c>
      <c r="C398" s="7" t="s">
        <v>490</v>
      </c>
      <c r="F398" s="1" t="str">
        <f ca="1">_xlfn.FORMULATEXT(B398)</f>
        <v>=NPER(A395,0,-A394,A396)</v>
      </c>
    </row>
    <row r="399" spans="1:8" x14ac:dyDescent="0.25">
      <c r="A399" s="23" t="s">
        <v>491</v>
      </c>
      <c r="B399" s="369">
        <f>B398/12</f>
        <v>3.5059384847120048</v>
      </c>
      <c r="C399" s="7" t="s">
        <v>490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492</v>
      </c>
      <c r="B401" s="7"/>
    </row>
    <row r="402" spans="1:8" x14ac:dyDescent="0.25">
      <c r="A402" s="7" t="s">
        <v>493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494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495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496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497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498</v>
      </c>
      <c r="H408" s="37"/>
    </row>
    <row r="409" spans="1:8" x14ac:dyDescent="0.25">
      <c r="A409" s="21" t="s">
        <v>499</v>
      </c>
      <c r="H409" s="37"/>
    </row>
    <row r="410" spans="1:8" x14ac:dyDescent="0.25">
      <c r="A410" s="21"/>
      <c r="H410" s="37"/>
    </row>
    <row r="411" spans="1:8" x14ac:dyDescent="0.25">
      <c r="A411" s="35" t="s">
        <v>500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435</v>
      </c>
    </row>
    <row r="414" spans="1:8" x14ac:dyDescent="0.25">
      <c r="A414" s="12">
        <v>2000</v>
      </c>
      <c r="B414" s="4" t="s">
        <v>34</v>
      </c>
      <c r="C414" s="1" t="s">
        <v>480</v>
      </c>
    </row>
    <row r="415" spans="1:8" x14ac:dyDescent="0.25">
      <c r="A415" s="1">
        <v>15</v>
      </c>
      <c r="B415" s="4" t="s">
        <v>69</v>
      </c>
      <c r="C415" s="1" t="s">
        <v>501</v>
      </c>
    </row>
    <row r="416" spans="1:8" x14ac:dyDescent="0.25">
      <c r="A416" s="5">
        <v>0.05</v>
      </c>
      <c r="B416" s="4" t="s">
        <v>67</v>
      </c>
      <c r="C416" s="1" t="s">
        <v>437</v>
      </c>
    </row>
    <row r="417" spans="1:8" x14ac:dyDescent="0.25">
      <c r="C417" s="38">
        <f>FV(A416,A415,0,-A414)</f>
        <v>4157.8563588227362</v>
      </c>
      <c r="D417" s="7" t="s">
        <v>461</v>
      </c>
      <c r="H417" s="1" t="str">
        <f ca="1">_xlfn.FORMULATEXT(C417)</f>
        <v>=FV(A416,A415,0,-A414)</v>
      </c>
    </row>
    <row r="420" spans="1:8" x14ac:dyDescent="0.25">
      <c r="A420" s="35" t="s">
        <v>502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503</v>
      </c>
    </row>
    <row r="422" spans="1:8" x14ac:dyDescent="0.25">
      <c r="A422" s="1" t="s">
        <v>504</v>
      </c>
    </row>
    <row r="423" spans="1:8" x14ac:dyDescent="0.25">
      <c r="A423" s="1" t="s">
        <v>505</v>
      </c>
    </row>
    <row r="425" spans="1:8" x14ac:dyDescent="0.25">
      <c r="A425" s="35" t="s">
        <v>506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435</v>
      </c>
    </row>
    <row r="428" spans="1:8" x14ac:dyDescent="0.25">
      <c r="A428" s="12">
        <v>45000</v>
      </c>
      <c r="B428" s="4" t="s">
        <v>34</v>
      </c>
      <c r="C428" s="1" t="s">
        <v>480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501</v>
      </c>
    </row>
    <row r="431" spans="1:8" x14ac:dyDescent="0.25">
      <c r="C431" s="42">
        <f>RATE(A430,0,A428,-A429)</f>
        <v>7.9951766443501465E-2</v>
      </c>
      <c r="D431" s="7" t="s">
        <v>481</v>
      </c>
      <c r="H431" s="1" t="str">
        <f ca="1">_xlfn.FORMULATEXT(C431)</f>
        <v>=RATE(A430,0,A428,-A429)</v>
      </c>
    </row>
    <row r="434" spans="1:8" x14ac:dyDescent="0.25">
      <c r="A434" s="2" t="s">
        <v>507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508</v>
      </c>
    </row>
    <row r="436" spans="1:8" x14ac:dyDescent="0.25">
      <c r="A436" s="1" t="s">
        <v>509</v>
      </c>
    </row>
    <row r="437" spans="1:8" x14ac:dyDescent="0.25">
      <c r="A437" s="1" t="s">
        <v>510</v>
      </c>
    </row>
    <row r="438" spans="1:8" x14ac:dyDescent="0.25">
      <c r="A438" s="1" t="s">
        <v>511</v>
      </c>
    </row>
    <row r="439" spans="1:8" x14ac:dyDescent="0.25">
      <c r="A439" s="1" t="s">
        <v>512</v>
      </c>
    </row>
    <row r="441" spans="1:8" x14ac:dyDescent="0.25">
      <c r="A441" s="370" t="s">
        <v>513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514</v>
      </c>
    </row>
    <row r="444" spans="1:8" x14ac:dyDescent="0.25">
      <c r="A444" s="1" t="s">
        <v>515</v>
      </c>
    </row>
    <row r="445" spans="1:8" x14ac:dyDescent="0.25">
      <c r="A445" s="1" t="s">
        <v>516</v>
      </c>
    </row>
    <row r="446" spans="1:8" x14ac:dyDescent="0.25">
      <c r="A446" s="1" t="s">
        <v>517</v>
      </c>
    </row>
    <row r="447" spans="1:8" x14ac:dyDescent="0.25">
      <c r="A447" s="1" t="s">
        <v>518</v>
      </c>
    </row>
    <row r="449" spans="1:10" x14ac:dyDescent="0.25">
      <c r="A449" s="3" t="s">
        <v>435</v>
      </c>
    </row>
    <row r="450" spans="1:10" x14ac:dyDescent="0.25">
      <c r="A450" s="1" t="s">
        <v>519</v>
      </c>
      <c r="B450" s="12">
        <v>10000</v>
      </c>
      <c r="C450" s="7"/>
      <c r="D450" s="39" t="s">
        <v>520</v>
      </c>
    </row>
    <row r="451" spans="1:10" x14ac:dyDescent="0.25">
      <c r="A451" s="1" t="s">
        <v>521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522</v>
      </c>
      <c r="B452" s="40">
        <v>5.0000000000000001E-3</v>
      </c>
      <c r="C452" s="692">
        <f>FV(B452,D451,0,-B450)</f>
        <v>10616.778118644976</v>
      </c>
      <c r="D452" s="692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523</v>
      </c>
      <c r="B453" s="40">
        <v>4.0000000000000001E-3</v>
      </c>
      <c r="C453" s="7"/>
    </row>
    <row r="454" spans="1:10" x14ac:dyDescent="0.25">
      <c r="C454" s="39"/>
      <c r="D454" s="39" t="s">
        <v>524</v>
      </c>
    </row>
    <row r="455" spans="1:10" x14ac:dyDescent="0.25">
      <c r="C455" s="26"/>
      <c r="D455" s="26">
        <v>3</v>
      </c>
      <c r="E455" s="26" t="s">
        <v>69</v>
      </c>
      <c r="G455" s="1" t="s">
        <v>525</v>
      </c>
    </row>
    <row r="456" spans="1:10" x14ac:dyDescent="0.25">
      <c r="C456" s="686">
        <f>C452+B451</f>
        <v>12616.778118644976</v>
      </c>
      <c r="D456" s="686"/>
      <c r="E456" s="1" t="s">
        <v>281</v>
      </c>
      <c r="G456" s="1" t="s">
        <v>526</v>
      </c>
    </row>
    <row r="457" spans="1:10" x14ac:dyDescent="0.25">
      <c r="C457" s="692">
        <f>FV(B452,D455,0,-C456)</f>
        <v>12806.977625880809</v>
      </c>
      <c r="D457" s="692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527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528</v>
      </c>
    </row>
    <row r="461" spans="1:10" x14ac:dyDescent="0.25">
      <c r="C461" s="686">
        <f>C457</f>
        <v>12806.977625880809</v>
      </c>
      <c r="D461" s="686"/>
      <c r="E461" s="1" t="s">
        <v>281</v>
      </c>
      <c r="G461" s="1" t="s">
        <v>529</v>
      </c>
    </row>
    <row r="462" spans="1:10" x14ac:dyDescent="0.25">
      <c r="C462" s="687">
        <f>FV(B453,D460,0,-C461)</f>
        <v>13275.474904595436</v>
      </c>
      <c r="D462" s="688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44" t="s">
        <v>530</v>
      </c>
      <c r="B464" s="445"/>
      <c r="C464" s="445"/>
      <c r="D464" s="445"/>
      <c r="E464" s="445"/>
      <c r="F464" s="445"/>
      <c r="G464" s="445"/>
      <c r="H464" s="445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531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532</v>
      </c>
    </row>
    <row r="468" spans="1:8" s="43" customFormat="1" ht="15" x14ac:dyDescent="0.2">
      <c r="A468" s="43" t="s">
        <v>533</v>
      </c>
    </row>
    <row r="469" spans="1:8" s="43" customFormat="1" ht="15" x14ac:dyDescent="0.2">
      <c r="A469" s="43" t="s">
        <v>534</v>
      </c>
    </row>
    <row r="470" spans="1:8" s="43" customFormat="1" ht="15" x14ac:dyDescent="0.2">
      <c r="A470" s="43" t="s">
        <v>535</v>
      </c>
    </row>
    <row r="471" spans="1:8" s="43" customFormat="1" ht="15" x14ac:dyDescent="0.2">
      <c r="A471" s="43" t="s">
        <v>536</v>
      </c>
    </row>
    <row r="472" spans="1:8" s="43" customFormat="1" ht="15" x14ac:dyDescent="0.2">
      <c r="A472" s="43" t="s">
        <v>537</v>
      </c>
    </row>
    <row r="473" spans="1:8" s="43" customFormat="1" ht="15" x14ac:dyDescent="0.2"/>
    <row r="474" spans="1:8" s="43" customFormat="1" ht="15" x14ac:dyDescent="0.2">
      <c r="A474" s="52" t="s">
        <v>538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539</v>
      </c>
    </row>
    <row r="477" spans="1:8" s="43" customFormat="1" ht="15" x14ac:dyDescent="0.2">
      <c r="A477" s="43" t="s">
        <v>540</v>
      </c>
    </row>
    <row r="478" spans="1:8" s="43" customFormat="1" ht="15" x14ac:dyDescent="0.2">
      <c r="A478" s="43" t="s">
        <v>541</v>
      </c>
    </row>
    <row r="479" spans="1:8" s="43" customFormat="1" ht="15" x14ac:dyDescent="0.2">
      <c r="A479" s="43" t="s">
        <v>542</v>
      </c>
    </row>
    <row r="480" spans="1:8" s="43" customFormat="1" ht="15" x14ac:dyDescent="0.2"/>
    <row r="481" spans="1:7" s="43" customFormat="1" ht="15" x14ac:dyDescent="0.2">
      <c r="A481" s="43" t="s">
        <v>543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544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545</v>
      </c>
    </row>
    <row r="488" spans="1:7" s="43" customFormat="1" ht="15" x14ac:dyDescent="0.2"/>
    <row r="489" spans="1:7" s="43" customFormat="1" ht="15" x14ac:dyDescent="0.2">
      <c r="A489" s="44" t="s">
        <v>546</v>
      </c>
    </row>
    <row r="490" spans="1:7" s="43" customFormat="1" ht="15" x14ac:dyDescent="0.2">
      <c r="A490" s="54">
        <v>0.05</v>
      </c>
      <c r="B490" s="47" t="s">
        <v>87</v>
      </c>
      <c r="C490" s="43" t="s">
        <v>547</v>
      </c>
    </row>
    <row r="491" spans="1:7" s="43" customFormat="1" ht="15" x14ac:dyDescent="0.2">
      <c r="A491" s="47">
        <v>3</v>
      </c>
      <c r="B491" s="47" t="s">
        <v>89</v>
      </c>
      <c r="C491" s="43" t="s">
        <v>548</v>
      </c>
    </row>
    <row r="492" spans="1:7" s="43" customFormat="1" ht="15" x14ac:dyDescent="0.2">
      <c r="A492" s="47">
        <v>-1000</v>
      </c>
      <c r="B492" s="47" t="s">
        <v>91</v>
      </c>
      <c r="C492" s="43" t="s">
        <v>549</v>
      </c>
    </row>
    <row r="493" spans="1:7" s="43" customFormat="1" ht="15" x14ac:dyDescent="0.2">
      <c r="A493" s="47">
        <v>0</v>
      </c>
      <c r="B493" s="47" t="s">
        <v>93</v>
      </c>
      <c r="C493" s="43" t="s">
        <v>550</v>
      </c>
    </row>
    <row r="494" spans="1:7" s="43" customFormat="1" ht="15" x14ac:dyDescent="0.2">
      <c r="A494" s="47">
        <v>0</v>
      </c>
      <c r="B494" s="47" t="s">
        <v>95</v>
      </c>
      <c r="C494" s="43" t="s">
        <v>551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552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544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553</v>
      </c>
    </row>
    <row r="505" spans="1:7" s="43" customFormat="1" ht="15" x14ac:dyDescent="0.2">
      <c r="A505" s="43" t="s">
        <v>554</v>
      </c>
    </row>
    <row r="506" spans="1:7" s="43" customFormat="1" ht="15" x14ac:dyDescent="0.2">
      <c r="A506" s="43" t="s">
        <v>555</v>
      </c>
      <c r="D506" s="55">
        <f>A496*1.05</f>
        <v>3310.1250000000032</v>
      </c>
      <c r="F506" s="43" t="s">
        <v>556</v>
      </c>
    </row>
    <row r="507" spans="1:7" s="43" customFormat="1" ht="15" x14ac:dyDescent="0.2"/>
    <row r="508" spans="1:7" s="43" customFormat="1" ht="15" x14ac:dyDescent="0.2">
      <c r="A508" s="44" t="s">
        <v>546</v>
      </c>
    </row>
    <row r="509" spans="1:7" s="43" customFormat="1" ht="15" x14ac:dyDescent="0.2">
      <c r="A509" s="54">
        <v>0.05</v>
      </c>
      <c r="B509" s="47" t="s">
        <v>87</v>
      </c>
      <c r="C509" s="43" t="s">
        <v>547</v>
      </c>
    </row>
    <row r="510" spans="1:7" s="43" customFormat="1" ht="15" x14ac:dyDescent="0.2">
      <c r="A510" s="47">
        <v>3</v>
      </c>
      <c r="B510" s="47" t="s">
        <v>89</v>
      </c>
      <c r="C510" s="43" t="s">
        <v>548</v>
      </c>
    </row>
    <row r="511" spans="1:7" s="43" customFormat="1" ht="15" x14ac:dyDescent="0.2">
      <c r="A511" s="47">
        <v>-1000</v>
      </c>
      <c r="B511" s="47" t="s">
        <v>91</v>
      </c>
      <c r="C511" s="43" t="s">
        <v>549</v>
      </c>
    </row>
    <row r="512" spans="1:7" s="43" customFormat="1" ht="15" x14ac:dyDescent="0.2">
      <c r="A512" s="47">
        <v>0</v>
      </c>
      <c r="B512" s="47" t="s">
        <v>93</v>
      </c>
      <c r="C512" s="43" t="s">
        <v>557</v>
      </c>
    </row>
    <row r="513" spans="1:8" s="43" customFormat="1" ht="15" x14ac:dyDescent="0.2">
      <c r="A513" s="47">
        <v>1</v>
      </c>
      <c r="B513" s="47" t="s">
        <v>95</v>
      </c>
      <c r="C513" s="43" t="s">
        <v>551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558</v>
      </c>
    </row>
    <row r="518" spans="1:8" s="43" customFormat="1" ht="15" x14ac:dyDescent="0.2">
      <c r="A518" s="58" t="s">
        <v>559</v>
      </c>
    </row>
    <row r="519" spans="1:8" s="43" customFormat="1" ht="15" x14ac:dyDescent="0.2">
      <c r="A519" s="58" t="s">
        <v>560</v>
      </c>
    </row>
    <row r="520" spans="1:8" s="43" customFormat="1" ht="15" x14ac:dyDescent="0.2">
      <c r="A520" s="57"/>
    </row>
    <row r="521" spans="1:8" s="43" customFormat="1" ht="15" x14ac:dyDescent="0.2">
      <c r="A521" s="58" t="s">
        <v>561</v>
      </c>
    </row>
    <row r="522" spans="1:8" s="43" customFormat="1" ht="15" x14ac:dyDescent="0.2">
      <c r="A522" s="58" t="s">
        <v>562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563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564</v>
      </c>
    </row>
    <row r="527" spans="1:8" s="43" customFormat="1" ht="15" x14ac:dyDescent="0.2">
      <c r="A527" s="43" t="s">
        <v>565</v>
      </c>
    </row>
    <row r="528" spans="1:8" s="43" customFormat="1" ht="15" x14ac:dyDescent="0.2">
      <c r="A528" s="43" t="s">
        <v>566</v>
      </c>
    </row>
    <row r="529" spans="1:7" s="43" customFormat="1" ht="15" x14ac:dyDescent="0.2">
      <c r="A529" s="43" t="s">
        <v>567</v>
      </c>
    </row>
    <row r="530" spans="1:7" s="43" customFormat="1" ht="15" x14ac:dyDescent="0.2"/>
    <row r="531" spans="1:7" s="43" customFormat="1" ht="15" x14ac:dyDescent="0.2">
      <c r="A531" s="43" t="s">
        <v>568</v>
      </c>
    </row>
    <row r="532" spans="1:7" s="43" customFormat="1" ht="15" x14ac:dyDescent="0.2">
      <c r="A532" s="43" t="s">
        <v>569</v>
      </c>
    </row>
    <row r="533" spans="1:7" s="43" customFormat="1" ht="15" x14ac:dyDescent="0.2"/>
    <row r="534" spans="1:7" s="43" customFormat="1" ht="15" x14ac:dyDescent="0.2">
      <c r="A534" s="49" t="s">
        <v>570</v>
      </c>
      <c r="B534" s="49" t="s">
        <v>115</v>
      </c>
      <c r="C534" s="49" t="s">
        <v>571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572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572</v>
      </c>
      <c r="B538" s="48">
        <f t="shared" si="0"/>
        <v>8500</v>
      </c>
      <c r="C538" s="47">
        <v>0</v>
      </c>
      <c r="D538" s="43" t="s">
        <v>93</v>
      </c>
      <c r="F538" s="43" t="s">
        <v>573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572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572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574</v>
      </c>
    </row>
    <row r="545" spans="1:8" s="43" customFormat="1" ht="15" x14ac:dyDescent="0.2"/>
    <row r="546" spans="1:8" s="43" customFormat="1" ht="15" x14ac:dyDescent="0.2">
      <c r="A546" s="43" t="s">
        <v>575</v>
      </c>
    </row>
    <row r="547" spans="1:8" s="43" customFormat="1" ht="15" x14ac:dyDescent="0.2">
      <c r="A547" s="43" t="s">
        <v>576</v>
      </c>
    </row>
    <row r="548" spans="1:8" s="43" customFormat="1" ht="15" x14ac:dyDescent="0.2">
      <c r="A548" s="43" t="s">
        <v>577</v>
      </c>
    </row>
    <row r="549" spans="1:8" s="43" customFormat="1" ht="15" x14ac:dyDescent="0.2"/>
    <row r="550" spans="1:8" s="43" customFormat="1" ht="15" x14ac:dyDescent="0.2">
      <c r="A550" s="45" t="s">
        <v>578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579</v>
      </c>
    </row>
    <row r="552" spans="1:8" s="43" customFormat="1" ht="15" x14ac:dyDescent="0.2">
      <c r="A552" s="43" t="s">
        <v>580</v>
      </c>
    </row>
    <row r="553" spans="1:8" s="43" customFormat="1" ht="15" x14ac:dyDescent="0.2">
      <c r="A553" s="43" t="s">
        <v>581</v>
      </c>
    </row>
    <row r="554" spans="1:8" s="43" customFormat="1" ht="15" x14ac:dyDescent="0.2"/>
    <row r="555" spans="1:8" s="43" customFormat="1" ht="15" x14ac:dyDescent="0.2">
      <c r="A555" s="43" t="s">
        <v>582</v>
      </c>
    </row>
    <row r="556" spans="1:8" s="43" customFormat="1" ht="15" x14ac:dyDescent="0.2">
      <c r="A556" s="43" t="s">
        <v>583</v>
      </c>
    </row>
    <row r="557" spans="1:8" s="43" customFormat="1" ht="15" x14ac:dyDescent="0.2"/>
    <row r="558" spans="1:8" s="43" customFormat="1" ht="15" x14ac:dyDescent="0.2">
      <c r="A558" s="43" t="s">
        <v>570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584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585</v>
      </c>
      <c r="F563" s="47">
        <f>1600*2</f>
        <v>3200</v>
      </c>
      <c r="G563" s="47" t="s">
        <v>586</v>
      </c>
    </row>
    <row r="564" spans="1:7" s="43" customFormat="1" ht="15" x14ac:dyDescent="0.2"/>
    <row r="565" spans="1:7" s="43" customFormat="1" ht="15" x14ac:dyDescent="0.2">
      <c r="A565" s="43" t="s">
        <v>587</v>
      </c>
    </row>
    <row r="566" spans="1:7" s="43" customFormat="1" ht="15" x14ac:dyDescent="0.2">
      <c r="A566" s="43" t="s">
        <v>588</v>
      </c>
    </row>
    <row r="567" spans="1:7" s="43" customFormat="1" ht="15" x14ac:dyDescent="0.2">
      <c r="A567" s="43" t="s">
        <v>589</v>
      </c>
    </row>
    <row r="568" spans="1:7" s="43" customFormat="1" ht="15" x14ac:dyDescent="0.2">
      <c r="A568" s="43" t="s">
        <v>590</v>
      </c>
      <c r="D568" s="43">
        <v>5</v>
      </c>
      <c r="E568" s="43" t="s">
        <v>591</v>
      </c>
    </row>
    <row r="569" spans="1:7" s="43" customFormat="1" ht="15" x14ac:dyDescent="0.2"/>
    <row r="570" spans="1:7" s="43" customFormat="1" ht="15" x14ac:dyDescent="0.2">
      <c r="A570" s="43" t="s">
        <v>592</v>
      </c>
    </row>
    <row r="571" spans="1:7" s="43" customFormat="1" ht="15" x14ac:dyDescent="0.2">
      <c r="A571" s="43" t="s">
        <v>593</v>
      </c>
    </row>
    <row r="572" spans="1:7" s="43" customFormat="1" ht="15" x14ac:dyDescent="0.2">
      <c r="A572" s="43" t="s">
        <v>594</v>
      </c>
    </row>
    <row r="573" spans="1:7" s="43" customFormat="1" ht="15" x14ac:dyDescent="0.2">
      <c r="A573" s="43" t="s">
        <v>595</v>
      </c>
    </row>
    <row r="574" spans="1:7" s="43" customFormat="1" ht="15" x14ac:dyDescent="0.2"/>
    <row r="575" spans="1:7" s="43" customFormat="1" ht="15" x14ac:dyDescent="0.2">
      <c r="A575" s="43" t="s">
        <v>596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597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598</v>
      </c>
    </row>
    <row r="580" spans="1:8" s="43" customFormat="1" ht="15" x14ac:dyDescent="0.2">
      <c r="A580" s="43" t="s">
        <v>599</v>
      </c>
    </row>
    <row r="581" spans="1:8" s="43" customFormat="1" ht="15" x14ac:dyDescent="0.2">
      <c r="A581" s="43" t="s">
        <v>600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586</v>
      </c>
    </row>
    <row r="589" spans="1:8" s="43" customFormat="1" ht="15" x14ac:dyDescent="0.2"/>
    <row r="591" spans="1:8" s="43" customFormat="1" ht="15" x14ac:dyDescent="0.2">
      <c r="A591" s="45" t="s">
        <v>601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602</v>
      </c>
    </row>
    <row r="593" spans="1:8" s="43" customFormat="1" ht="15" x14ac:dyDescent="0.2">
      <c r="A593" s="43" t="s">
        <v>603</v>
      </c>
    </row>
    <row r="594" spans="1:8" s="43" customFormat="1" ht="15" x14ac:dyDescent="0.2">
      <c r="A594" s="43" t="s">
        <v>604</v>
      </c>
    </row>
    <row r="595" spans="1:8" s="43" customFormat="1" ht="15" x14ac:dyDescent="0.2">
      <c r="A595" s="43" t="s">
        <v>605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586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606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607</v>
      </c>
    </row>
    <row r="607" spans="1:8" s="43" customFormat="1" ht="15" x14ac:dyDescent="0.2">
      <c r="A607" s="43" t="s">
        <v>608</v>
      </c>
    </row>
    <row r="608" spans="1:8" s="43" customFormat="1" ht="15" x14ac:dyDescent="0.2">
      <c r="A608" s="43" t="s">
        <v>609</v>
      </c>
    </row>
    <row r="609" spans="1:8" s="43" customFormat="1" ht="15" x14ac:dyDescent="0.2">
      <c r="A609" s="43" t="s">
        <v>610</v>
      </c>
    </row>
    <row r="610" spans="1:8" s="43" customFormat="1" ht="15" x14ac:dyDescent="0.2">
      <c r="A610" s="43" t="s">
        <v>611</v>
      </c>
    </row>
    <row r="611" spans="1:8" s="43" customFormat="1" ht="15" x14ac:dyDescent="0.2">
      <c r="A611" s="43" t="s">
        <v>612</v>
      </c>
    </row>
    <row r="612" spans="1:8" s="43" customFormat="1" ht="15" x14ac:dyDescent="0.2"/>
    <row r="613" spans="1:8" s="43" customFormat="1" ht="15" x14ac:dyDescent="0.2">
      <c r="A613" s="43" t="s">
        <v>613</v>
      </c>
    </row>
    <row r="614" spans="1:8" s="43" customFormat="1" ht="15" x14ac:dyDescent="0.2"/>
    <row r="615" spans="1:8" s="43" customFormat="1" ht="15" x14ac:dyDescent="0.2">
      <c r="A615" s="44" t="s">
        <v>614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615</v>
      </c>
    </row>
    <row r="617" spans="1:8" s="43" customFormat="1" ht="15" x14ac:dyDescent="0.2">
      <c r="A617" s="44"/>
    </row>
    <row r="618" spans="1:8" s="43" customFormat="1" ht="15" x14ac:dyDescent="0.2">
      <c r="B618" s="49" t="s">
        <v>616</v>
      </c>
      <c r="C618" s="49" t="s">
        <v>617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586</v>
      </c>
    </row>
    <row r="625" spans="1:8" s="43" customFormat="1" ht="15" x14ac:dyDescent="0.2"/>
    <row r="626" spans="1:8" s="43" customFormat="1" ht="15" x14ac:dyDescent="0.2">
      <c r="A626" s="43" t="s">
        <v>618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619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620</v>
      </c>
    </row>
    <row r="631" spans="1:8" s="43" customFormat="1" ht="15" x14ac:dyDescent="0.2">
      <c r="A631" s="43" t="s">
        <v>621</v>
      </c>
    </row>
    <row r="632" spans="1:8" s="43" customFormat="1" ht="15" x14ac:dyDescent="0.2">
      <c r="A632" s="43" t="s">
        <v>622</v>
      </c>
    </row>
    <row r="633" spans="1:8" s="43" customFormat="1" ht="15" x14ac:dyDescent="0.2">
      <c r="A633" s="43" t="s">
        <v>623</v>
      </c>
    </row>
    <row r="634" spans="1:8" s="43" customFormat="1" ht="15" x14ac:dyDescent="0.2"/>
    <row r="635" spans="1:8" s="43" customFormat="1" ht="15" x14ac:dyDescent="0.2">
      <c r="C635" s="49" t="s">
        <v>617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586</v>
      </c>
    </row>
    <row r="642" spans="1:8" s="43" customFormat="1" ht="15" x14ac:dyDescent="0.2"/>
    <row r="643" spans="1:8" s="43" customFormat="1" ht="15" x14ac:dyDescent="0.2">
      <c r="A643" s="43" t="s">
        <v>624</v>
      </c>
    </row>
    <row r="644" spans="1:8" s="43" customFormat="1" ht="15" x14ac:dyDescent="0.2">
      <c r="A644" s="43" t="s">
        <v>625</v>
      </c>
    </row>
    <row r="645" spans="1:8" s="43" customFormat="1" ht="15" x14ac:dyDescent="0.2">
      <c r="A645" s="43" t="s">
        <v>626</v>
      </c>
    </row>
    <row r="646" spans="1:8" s="43" customFormat="1" ht="15" x14ac:dyDescent="0.2">
      <c r="A646" s="43" t="s">
        <v>627</v>
      </c>
    </row>
    <row r="648" spans="1:8" x14ac:dyDescent="0.25">
      <c r="A648" s="2" t="s">
        <v>628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629</v>
      </c>
    </row>
    <row r="650" spans="1:8" x14ac:dyDescent="0.25">
      <c r="A650" s="1" t="s">
        <v>630</v>
      </c>
    </row>
    <row r="651" spans="1:8" x14ac:dyDescent="0.25">
      <c r="A651" s="1" t="s">
        <v>631</v>
      </c>
    </row>
    <row r="652" spans="1:8" x14ac:dyDescent="0.25">
      <c r="A652" s="1" t="s">
        <v>632</v>
      </c>
    </row>
    <row r="654" spans="1:8" x14ac:dyDescent="0.25">
      <c r="A654" s="1" t="s">
        <v>633</v>
      </c>
    </row>
    <row r="656" spans="1:8" x14ac:dyDescent="0.25">
      <c r="A656" s="1" t="s">
        <v>634</v>
      </c>
    </row>
    <row r="657" spans="1:5" x14ac:dyDescent="0.25">
      <c r="A657" s="1" t="s">
        <v>635</v>
      </c>
    </row>
    <row r="659" spans="1:5" x14ac:dyDescent="0.25">
      <c r="A659" s="19" t="s">
        <v>111</v>
      </c>
    </row>
    <row r="661" spans="1:5" x14ac:dyDescent="0.25">
      <c r="A661" s="1" t="s">
        <v>636</v>
      </c>
      <c r="C661" s="1" t="s">
        <v>637</v>
      </c>
      <c r="D661" s="1" t="s">
        <v>638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6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6">
        <f>FV(C662,C663,C665,C664,C667)</f>
        <v>-89134.741477994161</v>
      </c>
      <c r="D666" s="446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333</v>
      </c>
    </row>
    <row r="669" spans="1:5" x14ac:dyDescent="0.25">
      <c r="A669" s="1" t="s">
        <v>639</v>
      </c>
    </row>
    <row r="670" spans="1:5" x14ac:dyDescent="0.25">
      <c r="A670" s="1" t="s">
        <v>640</v>
      </c>
    </row>
    <row r="671" spans="1:5" x14ac:dyDescent="0.25">
      <c r="A671" s="1" t="s">
        <v>641</v>
      </c>
    </row>
    <row r="673" spans="1:8" x14ac:dyDescent="0.25">
      <c r="A673" s="1" t="s">
        <v>642</v>
      </c>
      <c r="D673" s="1" t="s">
        <v>643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6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333</v>
      </c>
    </row>
    <row r="681" spans="1:8" x14ac:dyDescent="0.25">
      <c r="A681" s="1" t="s">
        <v>644</v>
      </c>
    </row>
    <row r="682" spans="1:8" x14ac:dyDescent="0.25">
      <c r="A682" s="1" t="s">
        <v>645</v>
      </c>
    </row>
    <row r="683" spans="1:8" x14ac:dyDescent="0.25">
      <c r="A683" s="1" t="s">
        <v>646</v>
      </c>
    </row>
    <row r="685" spans="1:8" x14ac:dyDescent="0.25">
      <c r="A685" s="2" t="s">
        <v>647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648</v>
      </c>
    </row>
    <row r="688" spans="1:8" x14ac:dyDescent="0.25">
      <c r="A688" s="1" t="s">
        <v>649</v>
      </c>
    </row>
    <row r="689" spans="1:1" x14ac:dyDescent="0.25">
      <c r="A689" s="1" t="s">
        <v>650</v>
      </c>
    </row>
    <row r="690" spans="1:1" x14ac:dyDescent="0.25">
      <c r="A690" s="1" t="s">
        <v>651</v>
      </c>
    </row>
    <row r="691" spans="1:1" x14ac:dyDescent="0.25">
      <c r="A691" s="1" t="s">
        <v>652</v>
      </c>
    </row>
    <row r="692" spans="1:1" x14ac:dyDescent="0.25">
      <c r="A692" s="1" t="s">
        <v>653</v>
      </c>
    </row>
    <row r="694" spans="1:1" x14ac:dyDescent="0.25">
      <c r="A694" s="1" t="s">
        <v>654</v>
      </c>
    </row>
    <row r="696" spans="1:1" x14ac:dyDescent="0.25">
      <c r="A696" s="1" t="s">
        <v>655</v>
      </c>
    </row>
    <row r="697" spans="1:1" x14ac:dyDescent="0.25">
      <c r="A697" s="1" t="s">
        <v>656</v>
      </c>
    </row>
    <row r="698" spans="1:1" x14ac:dyDescent="0.25">
      <c r="A698" s="1" t="s">
        <v>657</v>
      </c>
    </row>
    <row r="700" spans="1:1" x14ac:dyDescent="0.25">
      <c r="A700" s="1" t="s">
        <v>658</v>
      </c>
    </row>
    <row r="701" spans="1:1" x14ac:dyDescent="0.25">
      <c r="A701" s="1" t="s">
        <v>659</v>
      </c>
    </row>
    <row r="702" spans="1:1" x14ac:dyDescent="0.25">
      <c r="A702" s="1" t="s">
        <v>660</v>
      </c>
    </row>
    <row r="703" spans="1:1" x14ac:dyDescent="0.25">
      <c r="A703" s="1" t="s">
        <v>661</v>
      </c>
    </row>
    <row r="705" spans="1:6" x14ac:dyDescent="0.25">
      <c r="C705" s="1" t="s">
        <v>662</v>
      </c>
      <c r="D705" s="1" t="s">
        <v>663</v>
      </c>
      <c r="E705" s="1" t="s">
        <v>664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6">
        <f>-D710</f>
        <v>-2458027.1252514864</v>
      </c>
      <c r="D708" s="446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7">
        <f>FV(C706,C707,C709,C708,C711)</f>
        <v>8904788.5576484557</v>
      </c>
      <c r="D710" s="446">
        <f>FV(D706,D707,D709,D708,D711)</f>
        <v>2458027.1252514864</v>
      </c>
      <c r="E710" s="446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333</v>
      </c>
    </row>
    <row r="713" spans="1:6" x14ac:dyDescent="0.25">
      <c r="A713" s="1" t="s">
        <v>665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I240"/>
  <sheetViews>
    <sheetView rightToLeft="1" topLeftCell="A213" zoomScale="150" zoomScaleNormal="250" workbookViewId="0">
      <selection activeCell="C32" sqref="C32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693" t="s">
        <v>666</v>
      </c>
      <c r="B1" s="693"/>
      <c r="C1" s="693"/>
      <c r="D1" s="693"/>
      <c r="E1" s="693"/>
      <c r="F1" s="693"/>
      <c r="G1" s="693"/>
      <c r="H1" s="693"/>
    </row>
    <row r="3" spans="1:8" x14ac:dyDescent="0.2">
      <c r="A3" s="75" t="s">
        <v>667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668</v>
      </c>
    </row>
    <row r="5" spans="1:8" x14ac:dyDescent="0.2">
      <c r="A5" s="43" t="s">
        <v>669</v>
      </c>
    </row>
    <row r="6" spans="1:8" x14ac:dyDescent="0.2">
      <c r="A6" s="43" t="s">
        <v>670</v>
      </c>
    </row>
    <row r="7" spans="1:8" x14ac:dyDescent="0.2">
      <c r="A7" s="43" t="s">
        <v>671</v>
      </c>
    </row>
    <row r="8" spans="1:8" x14ac:dyDescent="0.2">
      <c r="A8" s="43" t="s">
        <v>672</v>
      </c>
    </row>
    <row r="9" spans="1:8" x14ac:dyDescent="0.2">
      <c r="A9" s="43" t="s">
        <v>673</v>
      </c>
    </row>
    <row r="10" spans="1:8" x14ac:dyDescent="0.2">
      <c r="A10" s="43" t="s">
        <v>674</v>
      </c>
    </row>
    <row r="11" spans="1:8" x14ac:dyDescent="0.2">
      <c r="A11" s="43" t="s">
        <v>675</v>
      </c>
    </row>
    <row r="13" spans="1:8" x14ac:dyDescent="0.2">
      <c r="A13" s="43" t="s">
        <v>676</v>
      </c>
    </row>
    <row r="14" spans="1:8" x14ac:dyDescent="0.2">
      <c r="A14" s="43" t="s">
        <v>677</v>
      </c>
    </row>
    <row r="16" spans="1:8" x14ac:dyDescent="0.2">
      <c r="F16" s="43" t="s">
        <v>678</v>
      </c>
    </row>
    <row r="17" spans="1:8" x14ac:dyDescent="0.2">
      <c r="F17" s="43" t="s">
        <v>679</v>
      </c>
    </row>
    <row r="19" spans="1:8" x14ac:dyDescent="0.2">
      <c r="A19" s="43" t="s">
        <v>680</v>
      </c>
    </row>
    <row r="20" spans="1:8" x14ac:dyDescent="0.2">
      <c r="A20" s="43" t="s">
        <v>681</v>
      </c>
    </row>
    <row r="21" spans="1:8" x14ac:dyDescent="0.2">
      <c r="A21" s="43" t="s">
        <v>682</v>
      </c>
    </row>
    <row r="23" spans="1:8" x14ac:dyDescent="0.2">
      <c r="A23" s="45" t="s">
        <v>683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684</v>
      </c>
    </row>
    <row r="25" spans="1:8" x14ac:dyDescent="0.2">
      <c r="A25" s="43" t="s">
        <v>685</v>
      </c>
    </row>
    <row r="26" spans="1:8" x14ac:dyDescent="0.2">
      <c r="A26" s="43" t="s">
        <v>686</v>
      </c>
    </row>
    <row r="28" spans="1:8" x14ac:dyDescent="0.2">
      <c r="A28" s="43" t="s">
        <v>687</v>
      </c>
    </row>
    <row r="29" spans="1:8" x14ac:dyDescent="0.2">
      <c r="A29" s="43" t="s">
        <v>688</v>
      </c>
      <c r="F29" s="43" t="s">
        <v>689</v>
      </c>
    </row>
    <row r="31" spans="1:8" x14ac:dyDescent="0.2">
      <c r="A31" s="44" t="s">
        <v>690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691</v>
      </c>
    </row>
    <row r="34" spans="1:8" x14ac:dyDescent="0.2">
      <c r="A34" s="44" t="s">
        <v>692</v>
      </c>
    </row>
    <row r="35" spans="1:8" x14ac:dyDescent="0.2">
      <c r="C35" s="448">
        <v>0.05</v>
      </c>
      <c r="D35" s="43" t="s">
        <v>87</v>
      </c>
      <c r="E35" s="43" t="s">
        <v>693</v>
      </c>
    </row>
    <row r="36" spans="1:8" x14ac:dyDescent="0.2">
      <c r="C36" s="29">
        <v>2</v>
      </c>
      <c r="D36" s="43" t="s">
        <v>89</v>
      </c>
      <c r="E36" s="43" t="s">
        <v>694</v>
      </c>
    </row>
    <row r="37" spans="1:8" x14ac:dyDescent="0.2">
      <c r="C37" s="29">
        <v>0</v>
      </c>
      <c r="D37" s="43" t="s">
        <v>91</v>
      </c>
      <c r="E37" s="43" t="s">
        <v>695</v>
      </c>
    </row>
    <row r="38" spans="1:8" x14ac:dyDescent="0.2">
      <c r="C38" s="29">
        <v>1000</v>
      </c>
      <c r="D38" s="43" t="s">
        <v>105</v>
      </c>
      <c r="E38" s="43" t="s">
        <v>696</v>
      </c>
    </row>
    <row r="39" spans="1:8" x14ac:dyDescent="0.2">
      <c r="C39" s="29"/>
      <c r="D39" s="43" t="s">
        <v>95</v>
      </c>
      <c r="E39" s="43" t="s">
        <v>697</v>
      </c>
    </row>
    <row r="40" spans="1:8" x14ac:dyDescent="0.2">
      <c r="C40" s="449">
        <f>PV(C35,C36,C37,C38,C39)</f>
        <v>-907.02947845804988</v>
      </c>
      <c r="D40" s="43" t="s">
        <v>698</v>
      </c>
      <c r="E40" s="43" t="s">
        <v>699</v>
      </c>
    </row>
    <row r="42" spans="1:8" x14ac:dyDescent="0.2">
      <c r="A42" s="45" t="s">
        <v>700</v>
      </c>
      <c r="B42" s="46"/>
      <c r="C42" s="46"/>
      <c r="D42" s="46"/>
      <c r="E42" s="46"/>
      <c r="F42" s="46"/>
      <c r="G42" s="46"/>
      <c r="H42" s="46"/>
    </row>
    <row r="43" spans="1:8" x14ac:dyDescent="0.2">
      <c r="A43" s="43" t="s">
        <v>701</v>
      </c>
    </row>
    <row r="44" spans="1:8" x14ac:dyDescent="0.2">
      <c r="A44" s="43" t="s">
        <v>702</v>
      </c>
    </row>
    <row r="45" spans="1:8" x14ac:dyDescent="0.2">
      <c r="A45" s="43" t="s">
        <v>703</v>
      </c>
    </row>
    <row r="46" spans="1:8" x14ac:dyDescent="0.2">
      <c r="A46" s="43" t="s">
        <v>704</v>
      </c>
    </row>
    <row r="48" spans="1:8" x14ac:dyDescent="0.2">
      <c r="A48" s="43" t="s">
        <v>326</v>
      </c>
    </row>
    <row r="49" spans="1:8" x14ac:dyDescent="0.2">
      <c r="A49" s="43" t="s">
        <v>705</v>
      </c>
    </row>
    <row r="50" spans="1:8" x14ac:dyDescent="0.2">
      <c r="A50" s="43" t="s">
        <v>706</v>
      </c>
    </row>
    <row r="51" spans="1:8" x14ac:dyDescent="0.2">
      <c r="A51" s="43" t="s">
        <v>707</v>
      </c>
    </row>
    <row r="53" spans="1:8" x14ac:dyDescent="0.2">
      <c r="F53" s="43" t="s">
        <v>708</v>
      </c>
    </row>
    <row r="54" spans="1:8" x14ac:dyDescent="0.2">
      <c r="F54" s="43" t="s">
        <v>709</v>
      </c>
      <c r="G54" s="74">
        <f>4000/1.02^4</f>
        <v>3695.381704106057</v>
      </c>
    </row>
    <row r="55" spans="1:8" x14ac:dyDescent="0.2">
      <c r="F55" s="43" t="s">
        <v>710</v>
      </c>
      <c r="G55" s="43" t="s">
        <v>711</v>
      </c>
    </row>
    <row r="57" spans="1:8" x14ac:dyDescent="0.2">
      <c r="A57" s="79" t="s">
        <v>712</v>
      </c>
    </row>
    <row r="58" spans="1:8" x14ac:dyDescent="0.2">
      <c r="A58" s="44" t="s">
        <v>713</v>
      </c>
      <c r="B58" s="44"/>
      <c r="C58" s="44"/>
      <c r="D58" s="44"/>
      <c r="E58" s="44"/>
      <c r="F58" s="44"/>
      <c r="G58" s="44"/>
      <c r="H58" s="44"/>
    </row>
    <row r="59" spans="1:8" x14ac:dyDescent="0.2">
      <c r="A59" s="44" t="s">
        <v>714</v>
      </c>
      <c r="B59" s="44"/>
      <c r="C59" s="44"/>
      <c r="D59" s="44"/>
      <c r="E59" s="44"/>
      <c r="F59" s="44"/>
      <c r="G59" s="44"/>
      <c r="H59" s="44"/>
    </row>
    <row r="61" spans="1:8" x14ac:dyDescent="0.2">
      <c r="A61" s="43" t="s">
        <v>715</v>
      </c>
    </row>
    <row r="63" spans="1:8" x14ac:dyDescent="0.2">
      <c r="B63" s="54">
        <v>0.02</v>
      </c>
      <c r="C63" s="43" t="s">
        <v>87</v>
      </c>
      <c r="D63" s="43" t="s">
        <v>693</v>
      </c>
    </row>
    <row r="64" spans="1:8" x14ac:dyDescent="0.2">
      <c r="B64" s="47">
        <v>4</v>
      </c>
      <c r="C64" s="43" t="s">
        <v>89</v>
      </c>
      <c r="D64" s="43" t="s">
        <v>716</v>
      </c>
    </row>
    <row r="65" spans="1:8" x14ac:dyDescent="0.2">
      <c r="B65" s="47">
        <v>0</v>
      </c>
      <c r="C65" s="43" t="s">
        <v>91</v>
      </c>
      <c r="D65" s="43" t="s">
        <v>695</v>
      </c>
    </row>
    <row r="66" spans="1:8" x14ac:dyDescent="0.2">
      <c r="B66" s="47">
        <v>-4000</v>
      </c>
      <c r="C66" s="43" t="s">
        <v>105</v>
      </c>
      <c r="D66" s="43" t="s">
        <v>717</v>
      </c>
    </row>
    <row r="67" spans="1:8" x14ac:dyDescent="0.2">
      <c r="B67" s="47"/>
      <c r="C67" s="43" t="s">
        <v>95</v>
      </c>
      <c r="D67" s="43" t="s">
        <v>697</v>
      </c>
    </row>
    <row r="68" spans="1:8" x14ac:dyDescent="0.2">
      <c r="B68" s="78">
        <f>PV(B63,B64,B65,B66,B67)</f>
        <v>3695.381704106057</v>
      </c>
      <c r="C68" s="43" t="s">
        <v>698</v>
      </c>
      <c r="D68" s="43" t="s">
        <v>699</v>
      </c>
    </row>
    <row r="70" spans="1:8" x14ac:dyDescent="0.2">
      <c r="A70" s="43" t="s">
        <v>718</v>
      </c>
      <c r="E70" s="76">
        <f>B68</f>
        <v>3695.381704106057</v>
      </c>
    </row>
    <row r="71" spans="1:8" x14ac:dyDescent="0.2">
      <c r="A71" s="43" t="s">
        <v>719</v>
      </c>
      <c r="E71" s="76">
        <f>E70</f>
        <v>3695.381704106057</v>
      </c>
    </row>
    <row r="73" spans="1:8" x14ac:dyDescent="0.2">
      <c r="A73" s="79" t="s">
        <v>292</v>
      </c>
      <c r="B73" s="43" t="s">
        <v>720</v>
      </c>
      <c r="E73" s="43">
        <f>4000*0.95</f>
        <v>3800</v>
      </c>
      <c r="G73" s="43" t="s">
        <v>721</v>
      </c>
    </row>
    <row r="74" spans="1:8" x14ac:dyDescent="0.2">
      <c r="A74" s="79"/>
      <c r="B74" s="43" t="s">
        <v>722</v>
      </c>
      <c r="E74" s="76">
        <f>E70</f>
        <v>3695.381704106057</v>
      </c>
    </row>
    <row r="75" spans="1:8" x14ac:dyDescent="0.2">
      <c r="A75" s="79"/>
      <c r="E75" s="76"/>
    </row>
    <row r="76" spans="1:8" x14ac:dyDescent="0.2">
      <c r="B76" s="43" t="s">
        <v>723</v>
      </c>
    </row>
    <row r="78" spans="1:8" x14ac:dyDescent="0.2">
      <c r="A78" s="45" t="s">
        <v>724</v>
      </c>
      <c r="B78" s="46"/>
      <c r="C78" s="46"/>
      <c r="D78" s="46"/>
      <c r="E78" s="46"/>
      <c r="F78" s="46"/>
      <c r="G78" s="46"/>
      <c r="H78" s="46"/>
    </row>
    <row r="79" spans="1:8" x14ac:dyDescent="0.2">
      <c r="A79" s="43" t="s">
        <v>725</v>
      </c>
    </row>
    <row r="80" spans="1:8" x14ac:dyDescent="0.2">
      <c r="A80" s="43" t="s">
        <v>726</v>
      </c>
    </row>
    <row r="81" spans="1:8" x14ac:dyDescent="0.2">
      <c r="A81" s="43" t="s">
        <v>727</v>
      </c>
    </row>
    <row r="82" spans="1:8" x14ac:dyDescent="0.2">
      <c r="A82" s="43" t="s">
        <v>728</v>
      </c>
    </row>
    <row r="83" spans="1:8" x14ac:dyDescent="0.2">
      <c r="A83" s="43" t="s">
        <v>729</v>
      </c>
    </row>
    <row r="85" spans="1:8" x14ac:dyDescent="0.2">
      <c r="A85" s="43" t="s">
        <v>730</v>
      </c>
    </row>
    <row r="86" spans="1:8" x14ac:dyDescent="0.2">
      <c r="A86" s="43" t="s">
        <v>731</v>
      </c>
    </row>
    <row r="87" spans="1:8" x14ac:dyDescent="0.2">
      <c r="A87" s="43" t="s">
        <v>732</v>
      </c>
    </row>
    <row r="89" spans="1:8" x14ac:dyDescent="0.2">
      <c r="F89" s="43" t="s">
        <v>708</v>
      </c>
      <c r="H89" s="74">
        <f>2000/1.07+4000/(1.07*1.09)+5000/(1.07*1.09*1.11)+7000/(1.07*1.09*1.11*1.13)</f>
        <v>13946.074376647117</v>
      </c>
    </row>
    <row r="91" spans="1:8" x14ac:dyDescent="0.2">
      <c r="A91" s="44" t="s">
        <v>733</v>
      </c>
    </row>
    <row r="92" spans="1:8" x14ac:dyDescent="0.2">
      <c r="A92" s="43" t="s">
        <v>734</v>
      </c>
    </row>
    <row r="93" spans="1:8" x14ac:dyDescent="0.2">
      <c r="A93" s="43" t="s">
        <v>735</v>
      </c>
    </row>
    <row r="95" spans="1:8" ht="16" thickBot="1" x14ac:dyDescent="0.25">
      <c r="A95" s="49" t="s">
        <v>736</v>
      </c>
      <c r="B95" s="451" t="s">
        <v>737</v>
      </c>
      <c r="C95" s="49" t="s">
        <v>738</v>
      </c>
      <c r="D95" s="47" t="s">
        <v>739</v>
      </c>
      <c r="H95" s="291" t="s">
        <v>740</v>
      </c>
    </row>
    <row r="96" spans="1:8" x14ac:dyDescent="0.2">
      <c r="A96" s="47">
        <v>1</v>
      </c>
      <c r="B96" s="29">
        <v>2000</v>
      </c>
      <c r="C96" s="448">
        <v>7.0000000000000007E-2</v>
      </c>
      <c r="D96" s="452">
        <f>2000/(1+7%)^1</f>
        <v>1869.1588785046729</v>
      </c>
      <c r="E96" s="450"/>
      <c r="H96" s="43" t="str">
        <f ca="1">_xlfn.FORMULATEXT(D96)</f>
        <v>=2000/(1+7%)^1</v>
      </c>
    </row>
    <row r="97" spans="1:8" x14ac:dyDescent="0.2">
      <c r="A97" s="47">
        <v>2</v>
      </c>
      <c r="B97" s="29">
        <v>4000</v>
      </c>
      <c r="C97" s="448">
        <v>0.09</v>
      </c>
      <c r="D97" s="453">
        <f>4000/((1+9%)^1*(1+7%)^1)</f>
        <v>3429.6493183571974</v>
      </c>
      <c r="E97" s="450"/>
      <c r="H97" s="43" t="str">
        <f ca="1">_xlfn.FORMULATEXT(D97)</f>
        <v>=4000/((1+9%)^1*(1+7%)^1)</v>
      </c>
    </row>
    <row r="98" spans="1:8" x14ac:dyDescent="0.2">
      <c r="A98" s="47">
        <v>3</v>
      </c>
      <c r="B98" s="29">
        <v>5000</v>
      </c>
      <c r="C98" s="448">
        <v>0.11</v>
      </c>
      <c r="D98" s="453">
        <f>5000/((1+9%)^1*(1+7%)^1*(1+11%)^1)</f>
        <v>3862.2177008526996</v>
      </c>
      <c r="E98" s="450"/>
      <c r="H98" s="43" t="str">
        <f ca="1">_xlfn.FORMULATEXT(D98)</f>
        <v>=5000/((1+9%)^1*(1+7%)^1*(1+11%)^1)</v>
      </c>
    </row>
    <row r="99" spans="1:8" ht="16" thickBot="1" x14ac:dyDescent="0.25">
      <c r="A99" s="47">
        <v>4</v>
      </c>
      <c r="B99" s="29">
        <v>7000</v>
      </c>
      <c r="C99" s="448">
        <v>0.13</v>
      </c>
      <c r="D99" s="454">
        <f>7000/((1+9%)^1*(1+7%)^1*(1+11%)^1*(1+13%)^1)</f>
        <v>4785.0484789325483</v>
      </c>
      <c r="E99" s="450"/>
      <c r="H99" s="43" t="str">
        <f ca="1">_xlfn.FORMULATEXT(D99)</f>
        <v>=7000/((1+9%)^1*(1+7%)^1*(1+11%)^1*(1+13%)^1)</v>
      </c>
    </row>
    <row r="100" spans="1:8" x14ac:dyDescent="0.2">
      <c r="B100" s="450"/>
      <c r="C100" s="450"/>
      <c r="D100" s="291"/>
      <c r="E100" s="450"/>
    </row>
    <row r="101" spans="1:8" x14ac:dyDescent="0.2">
      <c r="B101" s="291" t="s">
        <v>741</v>
      </c>
      <c r="C101" s="450"/>
      <c r="D101" s="449">
        <f>SUM(D96:D99)</f>
        <v>13946.074376647117</v>
      </c>
      <c r="E101" s="450" t="s">
        <v>742</v>
      </c>
    </row>
    <row r="103" spans="1:8" x14ac:dyDescent="0.2">
      <c r="A103" s="44" t="s">
        <v>743</v>
      </c>
    </row>
    <row r="104" spans="1:8" x14ac:dyDescent="0.2">
      <c r="A104" s="43" t="s">
        <v>744</v>
      </c>
    </row>
    <row r="105" spans="1:8" x14ac:dyDescent="0.2">
      <c r="A105" s="43" t="s">
        <v>745</v>
      </c>
    </row>
    <row r="107" spans="1:8" x14ac:dyDescent="0.2">
      <c r="B107" s="47" t="s">
        <v>746</v>
      </c>
      <c r="C107" s="47" t="s">
        <v>747</v>
      </c>
      <c r="D107" s="47" t="s">
        <v>748</v>
      </c>
      <c r="E107" s="47" t="s">
        <v>749</v>
      </c>
    </row>
    <row r="108" spans="1:8" x14ac:dyDescent="0.2">
      <c r="B108" s="47" t="s">
        <v>750</v>
      </c>
      <c r="C108" s="47" t="s">
        <v>155</v>
      </c>
      <c r="D108" s="47" t="s">
        <v>154</v>
      </c>
      <c r="E108" s="47" t="s">
        <v>751</v>
      </c>
    </row>
    <row r="109" spans="1:8" x14ac:dyDescent="0.2">
      <c r="B109" s="54">
        <v>7.0000000000000007E-2</v>
      </c>
      <c r="C109" s="54">
        <v>0.09</v>
      </c>
      <c r="D109" s="54">
        <v>0.11</v>
      </c>
      <c r="E109" s="54">
        <f>C99</f>
        <v>0.13</v>
      </c>
      <c r="F109" s="43" t="s">
        <v>87</v>
      </c>
    </row>
    <row r="110" spans="1:8" x14ac:dyDescent="0.2">
      <c r="B110" s="47">
        <v>1</v>
      </c>
      <c r="C110" s="47">
        <v>1</v>
      </c>
      <c r="D110" s="47">
        <v>1</v>
      </c>
      <c r="E110" s="47">
        <v>1</v>
      </c>
      <c r="F110" s="43" t="s">
        <v>89</v>
      </c>
    </row>
    <row r="111" spans="1:8" x14ac:dyDescent="0.2">
      <c r="B111" s="47">
        <v>0</v>
      </c>
      <c r="C111" s="47">
        <v>0</v>
      </c>
      <c r="D111" s="47">
        <v>0</v>
      </c>
      <c r="E111" s="47">
        <v>0</v>
      </c>
      <c r="F111" s="43" t="s">
        <v>91</v>
      </c>
    </row>
    <row r="112" spans="1:8" x14ac:dyDescent="0.2">
      <c r="B112" s="460">
        <f>PV(B109,B110,B111,B113,B114)</f>
        <v>-13946.074376647119</v>
      </c>
      <c r="C112" s="457">
        <f>PV(C109,C110,C111,C113,C114)</f>
        <v>-12922.299583012418</v>
      </c>
      <c r="D112" s="458">
        <f>PV(D109,D110,D111,D113,D114)</f>
        <v>-10085.306545483536</v>
      </c>
      <c r="E112" s="248">
        <f>PV(E109,E110,E111,E113,E114)</f>
        <v>-6194.6902654867263</v>
      </c>
      <c r="F112" s="43" t="s">
        <v>281</v>
      </c>
    </row>
    <row r="113" spans="1:8" x14ac:dyDescent="0.2">
      <c r="A113" s="44" t="s">
        <v>752</v>
      </c>
      <c r="B113" s="459">
        <f>-C112+2000</f>
        <v>14922.299583012418</v>
      </c>
      <c r="C113" s="456">
        <f>-D112+4000</f>
        <v>14085.306545483536</v>
      </c>
      <c r="D113" s="455">
        <f>-E112+5000</f>
        <v>11194.690265486726</v>
      </c>
      <c r="E113" s="47">
        <v>7000</v>
      </c>
      <c r="F113" s="43" t="s">
        <v>105</v>
      </c>
    </row>
    <row r="114" spans="1:8" x14ac:dyDescent="0.2">
      <c r="B114" s="47">
        <v>0</v>
      </c>
      <c r="C114" s="47">
        <v>0</v>
      </c>
      <c r="D114" s="47">
        <v>0</v>
      </c>
      <c r="E114" s="47">
        <v>0</v>
      </c>
      <c r="F114" s="43" t="s">
        <v>333</v>
      </c>
    </row>
    <row r="118" spans="1:8" x14ac:dyDescent="0.2">
      <c r="A118" s="45" t="s">
        <v>753</v>
      </c>
      <c r="B118" s="46"/>
      <c r="C118" s="46"/>
      <c r="D118" s="46"/>
      <c r="E118" s="46"/>
      <c r="F118" s="46"/>
      <c r="G118" s="46"/>
      <c r="H118" s="46"/>
    </row>
    <row r="119" spans="1:8" x14ac:dyDescent="0.2">
      <c r="A119" s="43" t="s">
        <v>754</v>
      </c>
    </row>
    <row r="120" spans="1:8" x14ac:dyDescent="0.2">
      <c r="A120" s="43" t="s">
        <v>755</v>
      </c>
    </row>
    <row r="122" spans="1:8" x14ac:dyDescent="0.2">
      <c r="A122" s="43" t="s">
        <v>756</v>
      </c>
    </row>
    <row r="124" spans="1:8" x14ac:dyDescent="0.2">
      <c r="F124" s="43" t="s">
        <v>708</v>
      </c>
      <c r="H124" s="74">
        <v>32345</v>
      </c>
    </row>
    <row r="126" spans="1:8" x14ac:dyDescent="0.2">
      <c r="A126" s="80" t="s">
        <v>570</v>
      </c>
      <c r="B126" s="80" t="s">
        <v>115</v>
      </c>
    </row>
    <row r="127" spans="1:8" x14ac:dyDescent="0.2">
      <c r="A127" s="80" t="s">
        <v>757</v>
      </c>
      <c r="B127" s="80" t="s">
        <v>758</v>
      </c>
    </row>
    <row r="128" spans="1:8" x14ac:dyDescent="0.2">
      <c r="A128" s="80">
        <v>1</v>
      </c>
      <c r="B128" s="80"/>
    </row>
    <row r="129" spans="1:7" x14ac:dyDescent="0.2">
      <c r="A129" s="81" t="s">
        <v>759</v>
      </c>
      <c r="B129" s="81">
        <v>36000</v>
      </c>
    </row>
    <row r="130" spans="1:7" x14ac:dyDescent="0.2">
      <c r="A130" s="81">
        <v>3</v>
      </c>
      <c r="B130" s="81"/>
    </row>
    <row r="131" spans="1:7" x14ac:dyDescent="0.2">
      <c r="A131" s="82" t="s">
        <v>760</v>
      </c>
      <c r="B131" s="81">
        <v>40068</v>
      </c>
    </row>
    <row r="133" spans="1:7" x14ac:dyDescent="0.2">
      <c r="A133" s="43" t="s">
        <v>761</v>
      </c>
    </row>
    <row r="134" spans="1:7" x14ac:dyDescent="0.2">
      <c r="A134" s="43" t="s">
        <v>762</v>
      </c>
    </row>
    <row r="135" spans="1:7" x14ac:dyDescent="0.2">
      <c r="D135" s="461" t="s">
        <v>763</v>
      </c>
    </row>
    <row r="136" spans="1:7" ht="16" thickBot="1" x14ac:dyDescent="0.25"/>
    <row r="137" spans="1:7" x14ac:dyDescent="0.2">
      <c r="C137" s="47">
        <v>4</v>
      </c>
      <c r="E137" s="47">
        <v>2</v>
      </c>
      <c r="G137" s="463">
        <v>0</v>
      </c>
    </row>
    <row r="138" spans="1:7" x14ac:dyDescent="0.2">
      <c r="E138" s="47"/>
      <c r="G138" s="464"/>
    </row>
    <row r="139" spans="1:7" ht="16" thickBot="1" x14ac:dyDescent="0.25">
      <c r="C139" s="48">
        <f>B131</f>
        <v>40068</v>
      </c>
      <c r="E139" s="48">
        <v>36000</v>
      </c>
      <c r="G139" s="465" t="s">
        <v>764</v>
      </c>
    </row>
    <row r="140" spans="1:7" x14ac:dyDescent="0.2">
      <c r="C140" s="47" t="s">
        <v>765</v>
      </c>
      <c r="E140" s="47" t="s">
        <v>765</v>
      </c>
    </row>
    <row r="143" spans="1:7" x14ac:dyDescent="0.2">
      <c r="C143" s="462">
        <f>RATE(C144,C145,C146,C147)</f>
        <v>5.4988151592319838E-2</v>
      </c>
      <c r="D143" s="43" t="s">
        <v>87</v>
      </c>
      <c r="E143" s="43" t="s">
        <v>766</v>
      </c>
    </row>
    <row r="144" spans="1:7" x14ac:dyDescent="0.2">
      <c r="C144" s="47">
        <v>2</v>
      </c>
      <c r="D144" s="43" t="s">
        <v>89</v>
      </c>
      <c r="E144" s="43" t="s">
        <v>767</v>
      </c>
    </row>
    <row r="145" spans="1:5" x14ac:dyDescent="0.2">
      <c r="C145" s="47">
        <v>0</v>
      </c>
      <c r="D145" s="43" t="s">
        <v>91</v>
      </c>
    </row>
    <row r="146" spans="1:5" x14ac:dyDescent="0.2">
      <c r="C146" s="47">
        <f>-B129</f>
        <v>-36000</v>
      </c>
      <c r="D146" s="43" t="s">
        <v>281</v>
      </c>
    </row>
    <row r="147" spans="1:5" x14ac:dyDescent="0.2">
      <c r="C147" s="47">
        <f>B131</f>
        <v>40068</v>
      </c>
      <c r="D147" s="43" t="s">
        <v>105</v>
      </c>
    </row>
    <row r="149" spans="1:5" x14ac:dyDescent="0.2">
      <c r="A149" s="44" t="s">
        <v>768</v>
      </c>
    </row>
    <row r="151" spans="1:5" x14ac:dyDescent="0.2">
      <c r="C151" s="83">
        <f>C143</f>
        <v>5.4988151592319838E-2</v>
      </c>
      <c r="D151" s="43" t="s">
        <v>87</v>
      </c>
    </row>
    <row r="152" spans="1:5" x14ac:dyDescent="0.2">
      <c r="C152" s="47">
        <v>2</v>
      </c>
      <c r="D152" s="43" t="s">
        <v>89</v>
      </c>
      <c r="E152" s="43" t="s">
        <v>769</v>
      </c>
    </row>
    <row r="153" spans="1:5" x14ac:dyDescent="0.2">
      <c r="C153" s="47">
        <v>0</v>
      </c>
      <c r="D153" s="43" t="s">
        <v>91</v>
      </c>
    </row>
    <row r="154" spans="1:5" x14ac:dyDescent="0.2">
      <c r="C154" s="84">
        <f>PV(C151,C152,C153,C155)</f>
        <v>-32345.013477083729</v>
      </c>
      <c r="D154" s="43" t="s">
        <v>281</v>
      </c>
      <c r="E154" s="43" t="s">
        <v>752</v>
      </c>
    </row>
    <row r="155" spans="1:5" x14ac:dyDescent="0.2">
      <c r="C155" s="47">
        <f>-C146</f>
        <v>36000</v>
      </c>
      <c r="D155" s="43" t="s">
        <v>105</v>
      </c>
      <c r="E155" s="43" t="s">
        <v>770</v>
      </c>
    </row>
    <row r="156" spans="1:5" x14ac:dyDescent="0.2">
      <c r="C156" s="47"/>
    </row>
    <row r="157" spans="1:5" x14ac:dyDescent="0.2">
      <c r="A157" s="43" t="s">
        <v>771</v>
      </c>
      <c r="C157" s="47"/>
    </row>
    <row r="158" spans="1:5" x14ac:dyDescent="0.2">
      <c r="C158" s="47"/>
    </row>
    <row r="159" spans="1:5" x14ac:dyDescent="0.2">
      <c r="C159" s="47"/>
    </row>
    <row r="161" spans="1:8" x14ac:dyDescent="0.2">
      <c r="A161" s="45" t="s">
        <v>772</v>
      </c>
      <c r="B161" s="46"/>
      <c r="C161" s="46"/>
      <c r="D161" s="46"/>
      <c r="E161" s="46"/>
      <c r="F161" s="46"/>
      <c r="G161" s="46"/>
      <c r="H161" s="46"/>
    </row>
    <row r="162" spans="1:8" x14ac:dyDescent="0.2">
      <c r="A162" s="43" t="s">
        <v>773</v>
      </c>
    </row>
    <row r="163" spans="1:8" x14ac:dyDescent="0.2">
      <c r="A163" s="43" t="s">
        <v>774</v>
      </c>
    </row>
    <row r="164" spans="1:8" x14ac:dyDescent="0.2">
      <c r="A164" s="43" t="s">
        <v>775</v>
      </c>
    </row>
    <row r="166" spans="1:8" x14ac:dyDescent="0.2">
      <c r="F166" s="43" t="s">
        <v>708</v>
      </c>
      <c r="H166" s="74">
        <v>14260</v>
      </c>
    </row>
    <row r="168" spans="1:8" x14ac:dyDescent="0.2">
      <c r="C168" s="54">
        <v>7.0000000000000007E-2</v>
      </c>
      <c r="D168" s="47" t="s">
        <v>87</v>
      </c>
    </row>
    <row r="169" spans="1:8" x14ac:dyDescent="0.2">
      <c r="C169" s="47">
        <v>5</v>
      </c>
      <c r="D169" s="47" t="s">
        <v>89</v>
      </c>
    </row>
    <row r="170" spans="1:8" x14ac:dyDescent="0.2">
      <c r="C170" s="47">
        <v>0</v>
      </c>
      <c r="D170" s="47" t="s">
        <v>91</v>
      </c>
    </row>
    <row r="171" spans="1:8" x14ac:dyDescent="0.2">
      <c r="C171" s="84">
        <f>PV(C168,C169,C170,C172)</f>
        <v>-14259.723589673367</v>
      </c>
      <c r="D171" s="47" t="s">
        <v>281</v>
      </c>
    </row>
    <row r="172" spans="1:8" x14ac:dyDescent="0.2">
      <c r="C172" s="47">
        <v>20000</v>
      </c>
      <c r="D172" s="47" t="s">
        <v>105</v>
      </c>
    </row>
    <row r="174" spans="1:8" x14ac:dyDescent="0.2">
      <c r="A174" s="43" t="s">
        <v>776</v>
      </c>
    </row>
    <row r="176" spans="1:8" x14ac:dyDescent="0.2">
      <c r="A176" s="45" t="s">
        <v>777</v>
      </c>
      <c r="B176" s="46"/>
      <c r="C176" s="46"/>
      <c r="D176" s="46"/>
      <c r="E176" s="46"/>
      <c r="F176" s="46"/>
      <c r="G176" s="46"/>
      <c r="H176" s="46"/>
    </row>
    <row r="177" spans="1:8" x14ac:dyDescent="0.2">
      <c r="A177" s="43" t="s">
        <v>778</v>
      </c>
    </row>
    <row r="179" spans="1:8" x14ac:dyDescent="0.2">
      <c r="A179" s="43" t="s">
        <v>779</v>
      </c>
      <c r="B179" s="43" t="s">
        <v>780</v>
      </c>
    </row>
    <row r="180" spans="1:8" x14ac:dyDescent="0.2">
      <c r="B180" s="43" t="s">
        <v>781</v>
      </c>
    </row>
    <row r="182" spans="1:8" x14ac:dyDescent="0.2">
      <c r="A182" s="43" t="s">
        <v>782</v>
      </c>
      <c r="B182" s="43" t="s">
        <v>783</v>
      </c>
    </row>
    <row r="184" spans="1:8" x14ac:dyDescent="0.2">
      <c r="A184" s="43" t="s">
        <v>784</v>
      </c>
    </row>
    <row r="186" spans="1:8" x14ac:dyDescent="0.2">
      <c r="F186" s="43" t="s">
        <v>708</v>
      </c>
      <c r="H186" s="43" t="s">
        <v>785</v>
      </c>
    </row>
    <row r="188" spans="1:8" x14ac:dyDescent="0.2">
      <c r="A188" s="44" t="s">
        <v>786</v>
      </c>
    </row>
    <row r="189" spans="1:8" x14ac:dyDescent="0.2">
      <c r="A189" s="44" t="s">
        <v>787</v>
      </c>
    </row>
    <row r="191" spans="1:8" x14ac:dyDescent="0.2">
      <c r="A191" s="43" t="s">
        <v>788</v>
      </c>
      <c r="G191" s="43" t="s">
        <v>789</v>
      </c>
    </row>
    <row r="192" spans="1:8" x14ac:dyDescent="0.2">
      <c r="A192" s="59" t="s">
        <v>570</v>
      </c>
      <c r="B192" s="59" t="s">
        <v>790</v>
      </c>
      <c r="G192" s="59" t="s">
        <v>570</v>
      </c>
      <c r="H192" s="59" t="s">
        <v>790</v>
      </c>
    </row>
    <row r="193" spans="1:9" x14ac:dyDescent="0.2">
      <c r="A193" s="43">
        <v>4</v>
      </c>
      <c r="B193" s="85">
        <v>2000</v>
      </c>
      <c r="C193" s="466">
        <f>B193/1.01^4</f>
        <v>1921.9606889656325</v>
      </c>
      <c r="E193" s="43" t="s">
        <v>791</v>
      </c>
      <c r="G193" s="43">
        <v>0</v>
      </c>
      <c r="H193" s="85">
        <v>4400</v>
      </c>
    </row>
    <row r="194" spans="1:9" x14ac:dyDescent="0.2">
      <c r="A194" s="43">
        <v>8</v>
      </c>
      <c r="B194" s="85">
        <v>3000</v>
      </c>
      <c r="C194" s="466">
        <f>B194/1.01^8</f>
        <v>2770.4496674469365</v>
      </c>
      <c r="E194" s="43" t="s">
        <v>792</v>
      </c>
    </row>
    <row r="196" spans="1:9" x14ac:dyDescent="0.2">
      <c r="A196" s="43" t="s">
        <v>793</v>
      </c>
      <c r="C196" s="86">
        <f>2000/1.01^4+3000/1.01^8</f>
        <v>4692.4103564125689</v>
      </c>
      <c r="G196" s="43" t="s">
        <v>793</v>
      </c>
      <c r="I196" s="86">
        <f>H193</f>
        <v>4400</v>
      </c>
    </row>
    <row r="198" spans="1:9" x14ac:dyDescent="0.2">
      <c r="A198" s="43" t="s">
        <v>794</v>
      </c>
    </row>
    <row r="200" spans="1:9" x14ac:dyDescent="0.2">
      <c r="A200" s="87" t="s">
        <v>795</v>
      </c>
    </row>
    <row r="201" spans="1:9" x14ac:dyDescent="0.2">
      <c r="B201" s="43" t="s">
        <v>796</v>
      </c>
      <c r="C201" s="43" t="s">
        <v>797</v>
      </c>
    </row>
    <row r="202" spans="1:9" x14ac:dyDescent="0.2">
      <c r="B202" s="59" t="s">
        <v>798</v>
      </c>
      <c r="C202" s="59" t="s">
        <v>799</v>
      </c>
    </row>
    <row r="203" spans="1:9" x14ac:dyDescent="0.2">
      <c r="B203" s="77">
        <v>0.01</v>
      </c>
      <c r="C203" s="77">
        <v>0.01</v>
      </c>
      <c r="D203" s="43" t="s">
        <v>87</v>
      </c>
    </row>
    <row r="204" spans="1:9" ht="16" thickBot="1" x14ac:dyDescent="0.25">
      <c r="B204" s="43">
        <v>4</v>
      </c>
      <c r="C204" s="43">
        <v>4</v>
      </c>
      <c r="D204" s="43" t="s">
        <v>89</v>
      </c>
    </row>
    <row r="205" spans="1:9" ht="16" thickBot="1" x14ac:dyDescent="0.25">
      <c r="B205" s="88">
        <f>PV(B203,B204,B206,B207)</f>
        <v>-4692.4103564125699</v>
      </c>
      <c r="C205" s="86">
        <f>PV(C203,C204,C206,C207)</f>
        <v>-2882.9410334484487</v>
      </c>
      <c r="D205" s="43" t="s">
        <v>281</v>
      </c>
    </row>
    <row r="206" spans="1:9" x14ac:dyDescent="0.2">
      <c r="B206" s="43">
        <v>0</v>
      </c>
      <c r="C206" s="43">
        <v>0</v>
      </c>
      <c r="D206" s="43" t="s">
        <v>91</v>
      </c>
    </row>
    <row r="207" spans="1:9" x14ac:dyDescent="0.2">
      <c r="B207" s="74">
        <f>-C205+2000</f>
        <v>4882.9410334484492</v>
      </c>
      <c r="C207" s="43">
        <v>3000</v>
      </c>
      <c r="D207" s="43" t="s">
        <v>105</v>
      </c>
    </row>
    <row r="209" spans="1:8" x14ac:dyDescent="0.2">
      <c r="A209" s="43" t="s">
        <v>800</v>
      </c>
    </row>
    <row r="210" spans="1:8" x14ac:dyDescent="0.2">
      <c r="A210" s="43" t="s">
        <v>801</v>
      </c>
    </row>
    <row r="211" spans="1:8" x14ac:dyDescent="0.2">
      <c r="A211" s="43" t="s">
        <v>802</v>
      </c>
    </row>
    <row r="212" spans="1:8" x14ac:dyDescent="0.2">
      <c r="A212" s="43" t="s">
        <v>803</v>
      </c>
    </row>
    <row r="221" spans="1:8" x14ac:dyDescent="0.2">
      <c r="A221" s="45" t="s">
        <v>804</v>
      </c>
      <c r="B221" s="46"/>
      <c r="C221" s="46"/>
      <c r="D221" s="46"/>
      <c r="E221" s="250" t="s">
        <v>805</v>
      </c>
      <c r="F221" s="46"/>
      <c r="G221" s="46"/>
      <c r="H221" s="46"/>
    </row>
    <row r="222" spans="1:8" x14ac:dyDescent="0.2">
      <c r="A222" s="43" t="s">
        <v>806</v>
      </c>
    </row>
    <row r="223" spans="1:8" x14ac:dyDescent="0.2">
      <c r="A223" s="43" t="s">
        <v>807</v>
      </c>
    </row>
    <row r="224" spans="1:8" x14ac:dyDescent="0.2">
      <c r="A224" s="43" t="s">
        <v>808</v>
      </c>
    </row>
    <row r="225" spans="1:8" x14ac:dyDescent="0.2">
      <c r="A225" s="43" t="s">
        <v>809</v>
      </c>
    </row>
    <row r="226" spans="1:8" x14ac:dyDescent="0.2">
      <c r="A226" s="43" t="s">
        <v>810</v>
      </c>
    </row>
    <row r="228" spans="1:8" x14ac:dyDescent="0.2">
      <c r="A228" s="43" t="s">
        <v>811</v>
      </c>
    </row>
    <row r="230" spans="1:8" x14ac:dyDescent="0.2">
      <c r="F230" s="43" t="s">
        <v>708</v>
      </c>
      <c r="H230" s="74">
        <v>7634.93</v>
      </c>
    </row>
    <row r="231" spans="1:8" x14ac:dyDescent="0.2">
      <c r="A231" s="43" t="s">
        <v>214</v>
      </c>
    </row>
    <row r="232" spans="1:8" x14ac:dyDescent="0.2">
      <c r="B232" s="43" t="str">
        <f ca="1">_xlfn.FORMULATEXT(C232)</f>
        <v>=10000/(1.1*1.08*1.05^2)</v>
      </c>
      <c r="C232" s="90">
        <f>10000/(1.1*1.08*1.05^2)</f>
        <v>7634.9282698489033</v>
      </c>
    </row>
    <row r="234" spans="1:8" x14ac:dyDescent="0.2">
      <c r="A234" s="43" t="s">
        <v>812</v>
      </c>
    </row>
    <row r="235" spans="1:8" x14ac:dyDescent="0.2">
      <c r="D235" s="49" t="s">
        <v>813</v>
      </c>
      <c r="E235" s="49" t="s">
        <v>814</v>
      </c>
      <c r="F235" s="49" t="s">
        <v>815</v>
      </c>
    </row>
    <row r="236" spans="1:8" x14ac:dyDescent="0.2">
      <c r="D236" s="54">
        <v>0.05</v>
      </c>
      <c r="E236" s="54">
        <v>0.08</v>
      </c>
      <c r="F236" s="54">
        <v>0.1</v>
      </c>
      <c r="G236" s="43" t="s">
        <v>87</v>
      </c>
    </row>
    <row r="237" spans="1:8" ht="16" thickBot="1" x14ac:dyDescent="0.25">
      <c r="D237" s="47">
        <v>2</v>
      </c>
      <c r="E237" s="47">
        <v>1</v>
      </c>
      <c r="F237" s="47">
        <v>1</v>
      </c>
      <c r="G237" s="43" t="s">
        <v>89</v>
      </c>
    </row>
    <row r="238" spans="1:8" ht="16" thickBot="1" x14ac:dyDescent="0.25">
      <c r="C238" s="74"/>
      <c r="D238" s="91">
        <f>PV(D236,D237,D239,D240)</f>
        <v>-7634.9282698489033</v>
      </c>
      <c r="E238" s="89">
        <f>PV(E236,E237,E239,E240)</f>
        <v>-8417.5084175084157</v>
      </c>
      <c r="F238" s="89">
        <f>PV(F236,F237,F239,F240)</f>
        <v>-9090.9090909090901</v>
      </c>
      <c r="G238" s="43" t="s">
        <v>281</v>
      </c>
    </row>
    <row r="239" spans="1:8" x14ac:dyDescent="0.2">
      <c r="D239" s="47">
        <v>0</v>
      </c>
      <c r="E239" s="47">
        <v>0</v>
      </c>
      <c r="F239" s="47">
        <v>0</v>
      </c>
      <c r="G239" s="43" t="s">
        <v>91</v>
      </c>
    </row>
    <row r="240" spans="1:8" x14ac:dyDescent="0.2">
      <c r="D240" s="48">
        <f>-E238</f>
        <v>8417.5084175084157</v>
      </c>
      <c r="E240" s="48">
        <f>-F238</f>
        <v>9090.9090909090901</v>
      </c>
      <c r="F240" s="47">
        <v>10000</v>
      </c>
      <c r="G240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32"/>
  <sheetViews>
    <sheetView rightToLeft="1" topLeftCell="A146" zoomScale="289" zoomScaleNormal="330" workbookViewId="0">
      <selection activeCell="E163" sqref="E163"/>
    </sheetView>
  </sheetViews>
  <sheetFormatPr baseColWidth="10" defaultColWidth="11.5" defaultRowHeight="15" x14ac:dyDescent="0.2"/>
  <sheetData>
    <row r="1" spans="1:8" s="43" customFormat="1" ht="18" x14ac:dyDescent="0.2">
      <c r="A1" s="702" t="s">
        <v>2665</v>
      </c>
      <c r="B1" s="702"/>
      <c r="C1" s="702"/>
      <c r="D1" s="702"/>
      <c r="E1" s="702"/>
      <c r="F1" s="702"/>
      <c r="G1" s="702"/>
      <c r="H1" s="702"/>
    </row>
    <row r="2" spans="1:8" ht="16" thickBot="1" x14ac:dyDescent="0.25"/>
    <row r="3" spans="1:8" s="92" customFormat="1" ht="16" x14ac:dyDescent="0.2">
      <c r="A3" s="103" t="s">
        <v>816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817</v>
      </c>
      <c r="H4" s="99"/>
    </row>
    <row r="5" spans="1:8" s="92" customFormat="1" ht="17" thickBot="1" x14ac:dyDescent="0.25">
      <c r="A5" s="100" t="s">
        <v>818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683</v>
      </c>
      <c r="B7" s="94" t="s">
        <v>819</v>
      </c>
      <c r="C7" s="94" t="s">
        <v>2666</v>
      </c>
      <c r="D7" s="94"/>
      <c r="E7" s="94"/>
      <c r="F7" s="94"/>
      <c r="G7" s="94"/>
      <c r="H7" s="94" t="s">
        <v>2667</v>
      </c>
    </row>
    <row r="8" spans="1:8" s="92" customFormat="1" ht="16" x14ac:dyDescent="0.2">
      <c r="A8" s="92" t="s">
        <v>820</v>
      </c>
    </row>
    <row r="9" spans="1:8" s="92" customFormat="1" ht="16" x14ac:dyDescent="0.2">
      <c r="A9" s="92" t="s">
        <v>821</v>
      </c>
    </row>
    <row r="10" spans="1:8" s="92" customFormat="1" ht="16" x14ac:dyDescent="0.2"/>
    <row r="11" spans="1:8" s="92" customFormat="1" ht="16" x14ac:dyDescent="0.2">
      <c r="A11" s="92" t="s">
        <v>326</v>
      </c>
    </row>
    <row r="12" spans="1:8" s="92" customFormat="1" ht="16" x14ac:dyDescent="0.2">
      <c r="A12" s="92" t="s">
        <v>822</v>
      </c>
    </row>
    <row r="13" spans="1:8" s="92" customFormat="1" ht="16" x14ac:dyDescent="0.2">
      <c r="A13" s="92" t="s">
        <v>823</v>
      </c>
    </row>
    <row r="14" spans="1:8" s="92" customFormat="1" ht="16" x14ac:dyDescent="0.2">
      <c r="A14" s="92" t="s">
        <v>824</v>
      </c>
    </row>
    <row r="15" spans="1:8" s="92" customFormat="1" ht="16" x14ac:dyDescent="0.2"/>
    <row r="16" spans="1:8" s="92" customFormat="1" ht="16" x14ac:dyDescent="0.2">
      <c r="A16" s="92" t="s">
        <v>825</v>
      </c>
    </row>
    <row r="17" spans="1:6" s="92" customFormat="1" ht="16" x14ac:dyDescent="0.2">
      <c r="A17" s="92" t="s">
        <v>826</v>
      </c>
    </row>
    <row r="18" spans="1:6" s="92" customFormat="1" ht="16" x14ac:dyDescent="0.2"/>
    <row r="19" spans="1:6" s="92" customFormat="1" ht="16" x14ac:dyDescent="0.2">
      <c r="A19" s="92" t="s">
        <v>827</v>
      </c>
      <c r="D19" s="469">
        <v>0.05</v>
      </c>
      <c r="E19" s="92" t="s">
        <v>87</v>
      </c>
    </row>
    <row r="20" spans="1:6" s="92" customFormat="1" ht="16" x14ac:dyDescent="0.2">
      <c r="A20" s="92" t="s">
        <v>828</v>
      </c>
      <c r="D20" s="470">
        <v>3</v>
      </c>
      <c r="E20" s="92" t="s">
        <v>89</v>
      </c>
    </row>
    <row r="21" spans="1:6" s="92" customFormat="1" ht="16" x14ac:dyDescent="0.2">
      <c r="A21" s="92" t="s">
        <v>2668</v>
      </c>
      <c r="D21" s="592">
        <f>PV(D19,D20,D22,D23,D24)</f>
        <v>-272.32480293704799</v>
      </c>
      <c r="E21" s="92" t="s">
        <v>281</v>
      </c>
    </row>
    <row r="22" spans="1:6" s="92" customFormat="1" ht="16" x14ac:dyDescent="0.2">
      <c r="A22" s="92" t="s">
        <v>829</v>
      </c>
      <c r="D22" s="470">
        <v>100</v>
      </c>
      <c r="E22" s="92" t="s">
        <v>91</v>
      </c>
    </row>
    <row r="23" spans="1:6" s="92" customFormat="1" ht="16" x14ac:dyDescent="0.2">
      <c r="A23" s="92" t="s">
        <v>830</v>
      </c>
      <c r="D23" s="470">
        <v>0</v>
      </c>
      <c r="E23" s="92" t="s">
        <v>105</v>
      </c>
    </row>
    <row r="24" spans="1:6" s="92" customFormat="1" ht="21" x14ac:dyDescent="0.25">
      <c r="A24" s="92" t="s">
        <v>831</v>
      </c>
      <c r="D24" s="25">
        <v>0</v>
      </c>
      <c r="E24" s="92" t="s">
        <v>333</v>
      </c>
      <c r="F24" s="92" t="s">
        <v>2669</v>
      </c>
    </row>
    <row r="25" spans="1:6" s="92" customFormat="1" ht="16" x14ac:dyDescent="0.2">
      <c r="D25" s="105"/>
    </row>
    <row r="26" spans="1:6" s="92" customFormat="1" ht="16" x14ac:dyDescent="0.2">
      <c r="A26" s="92" t="s">
        <v>2670</v>
      </c>
      <c r="D26" s="105"/>
    </row>
    <row r="27" spans="1:6" s="92" customFormat="1" ht="16" x14ac:dyDescent="0.2">
      <c r="D27" s="105"/>
    </row>
    <row r="28" spans="1:6" s="92" customFormat="1" ht="16" x14ac:dyDescent="0.2">
      <c r="A28" s="107" t="s">
        <v>710</v>
      </c>
      <c r="D28" s="104">
        <v>0.05</v>
      </c>
      <c r="E28" s="92" t="s">
        <v>87</v>
      </c>
    </row>
    <row r="29" spans="1:6" s="92" customFormat="1" ht="16" x14ac:dyDescent="0.2">
      <c r="D29" s="105">
        <v>3</v>
      </c>
      <c r="E29" s="92" t="s">
        <v>89</v>
      </c>
    </row>
    <row r="30" spans="1:6" s="92" customFormat="1" ht="16" x14ac:dyDescent="0.2">
      <c r="D30" s="106">
        <f>PV(D28,D29,D31,D32,D33)</f>
        <v>-285.94104308390041</v>
      </c>
      <c r="E30" s="92" t="s">
        <v>281</v>
      </c>
      <c r="F30" s="92" t="s">
        <v>2671</v>
      </c>
    </row>
    <row r="31" spans="1:6" s="92" customFormat="1" ht="16" x14ac:dyDescent="0.2">
      <c r="D31" s="105">
        <v>100</v>
      </c>
      <c r="E31" s="92" t="s">
        <v>91</v>
      </c>
      <c r="F31" s="92" t="s">
        <v>2672</v>
      </c>
    </row>
    <row r="32" spans="1:6" s="92" customFormat="1" ht="16" x14ac:dyDescent="0.2">
      <c r="D32" s="105">
        <v>0</v>
      </c>
      <c r="E32" s="92" t="s">
        <v>105</v>
      </c>
      <c r="F32" s="92" t="s">
        <v>2673</v>
      </c>
    </row>
    <row r="33" spans="1:8" s="92" customFormat="1" ht="23" x14ac:dyDescent="0.25">
      <c r="A33" s="92" t="s">
        <v>832</v>
      </c>
      <c r="D33" s="593">
        <v>1</v>
      </c>
      <c r="E33" s="92" t="s">
        <v>333</v>
      </c>
    </row>
    <row r="34" spans="1:8" s="92" customFormat="1" ht="16" x14ac:dyDescent="0.2"/>
    <row r="35" spans="1:8" s="92" customFormat="1" ht="16" x14ac:dyDescent="0.2">
      <c r="A35" s="94" t="s">
        <v>700</v>
      </c>
      <c r="B35" s="94" t="s">
        <v>833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2674</v>
      </c>
    </row>
    <row r="37" spans="1:8" s="92" customFormat="1" ht="16" x14ac:dyDescent="0.2">
      <c r="A37" s="92" t="s">
        <v>834</v>
      </c>
    </row>
    <row r="38" spans="1:8" s="92" customFormat="1" ht="16" x14ac:dyDescent="0.2"/>
    <row r="39" spans="1:8" s="92" customFormat="1" ht="16" x14ac:dyDescent="0.2">
      <c r="A39" s="92" t="s">
        <v>835</v>
      </c>
    </row>
    <row r="40" spans="1:8" s="92" customFormat="1" ht="17" thickBot="1" x14ac:dyDescent="0.25"/>
    <row r="41" spans="1:8" s="92" customFormat="1" ht="16" x14ac:dyDescent="0.2">
      <c r="A41" s="95" t="s">
        <v>2675</v>
      </c>
      <c r="B41" s="594"/>
      <c r="C41" s="594"/>
      <c r="D41" s="594"/>
      <c r="E41" s="594"/>
      <c r="F41" s="595"/>
    </row>
    <row r="42" spans="1:8" s="92" customFormat="1" ht="17" thickBot="1" x14ac:dyDescent="0.25">
      <c r="A42" s="507" t="s">
        <v>837</v>
      </c>
      <c r="B42" s="596"/>
      <c r="C42" s="596"/>
      <c r="D42" s="596"/>
      <c r="E42" s="596"/>
      <c r="F42" s="597"/>
    </row>
    <row r="43" spans="1:8" s="92" customFormat="1" ht="16" x14ac:dyDescent="0.2"/>
    <row r="44" spans="1:8" s="92" customFormat="1" ht="16" x14ac:dyDescent="0.2">
      <c r="A44" s="92" t="s">
        <v>2676</v>
      </c>
      <c r="D44" s="475">
        <v>5.0000000000000001E-3</v>
      </c>
      <c r="E44" s="92" t="s">
        <v>87</v>
      </c>
    </row>
    <row r="45" spans="1:8" s="92" customFormat="1" ht="16" x14ac:dyDescent="0.2">
      <c r="A45" s="92" t="s">
        <v>838</v>
      </c>
      <c r="D45" s="470">
        <f>20*12</f>
        <v>240</v>
      </c>
      <c r="E45" s="92" t="s">
        <v>89</v>
      </c>
      <c r="F45" s="92" t="s">
        <v>2677</v>
      </c>
    </row>
    <row r="46" spans="1:8" s="92" customFormat="1" ht="16" x14ac:dyDescent="0.2">
      <c r="A46" s="92" t="s">
        <v>839</v>
      </c>
      <c r="D46" s="592">
        <f>PV(D44,D45,D47,D48,D49)</f>
        <v>488532.70089024433</v>
      </c>
      <c r="E46" s="92" t="s">
        <v>281</v>
      </c>
    </row>
    <row r="47" spans="1:8" s="307" customFormat="1" ht="16" x14ac:dyDescent="0.2">
      <c r="A47" s="307" t="s">
        <v>2678</v>
      </c>
      <c r="D47" s="470">
        <v>-3500</v>
      </c>
      <c r="E47" s="307" t="s">
        <v>91</v>
      </c>
    </row>
    <row r="48" spans="1:8" s="92" customFormat="1" ht="16" x14ac:dyDescent="0.2">
      <c r="A48" s="307"/>
      <c r="B48" s="307"/>
      <c r="C48" s="307"/>
      <c r="D48" s="470">
        <v>0</v>
      </c>
      <c r="E48" s="92" t="s">
        <v>105</v>
      </c>
    </row>
    <row r="49" spans="1:8" s="92" customFormat="1" ht="16" x14ac:dyDescent="0.2">
      <c r="A49" s="307"/>
      <c r="B49" s="307"/>
      <c r="C49" s="307"/>
      <c r="D49" s="470">
        <v>0</v>
      </c>
      <c r="E49" s="92" t="s">
        <v>333</v>
      </c>
    </row>
    <row r="50" spans="1:8" s="92" customFormat="1" ht="16" x14ac:dyDescent="0.2"/>
    <row r="51" spans="1:8" s="92" customFormat="1" ht="16" x14ac:dyDescent="0.2">
      <c r="A51" s="94" t="s">
        <v>724</v>
      </c>
      <c r="B51" s="94" t="s">
        <v>840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841</v>
      </c>
    </row>
    <row r="53" spans="1:8" s="92" customFormat="1" ht="16" x14ac:dyDescent="0.2">
      <c r="A53" s="92" t="s">
        <v>842</v>
      </c>
    </row>
    <row r="54" spans="1:8" s="92" customFormat="1" ht="16" x14ac:dyDescent="0.2">
      <c r="A54" s="92" t="s">
        <v>843</v>
      </c>
    </row>
    <row r="55" spans="1:8" s="92" customFormat="1" ht="16" x14ac:dyDescent="0.2">
      <c r="A55" s="92" t="s">
        <v>844</v>
      </c>
    </row>
    <row r="56" spans="1:8" s="92" customFormat="1" ht="16" x14ac:dyDescent="0.2">
      <c r="A56" s="92" t="s">
        <v>845</v>
      </c>
    </row>
    <row r="57" spans="1:8" s="92" customFormat="1" ht="16" x14ac:dyDescent="0.2">
      <c r="A57" s="92" t="s">
        <v>846</v>
      </c>
    </row>
    <row r="58" spans="1:8" s="92" customFormat="1" ht="16" x14ac:dyDescent="0.2">
      <c r="A58" s="92" t="s">
        <v>847</v>
      </c>
    </row>
    <row r="59" spans="1:8" s="92" customFormat="1" ht="16" x14ac:dyDescent="0.2"/>
    <row r="60" spans="1:8" s="92" customFormat="1" ht="16" x14ac:dyDescent="0.2">
      <c r="A60" s="93" t="s">
        <v>848</v>
      </c>
    </row>
    <row r="61" spans="1:8" s="92" customFormat="1" ht="17" thickBot="1" x14ac:dyDescent="0.25"/>
    <row r="62" spans="1:8" s="92" customFormat="1" ht="16" x14ac:dyDescent="0.2">
      <c r="A62" s="103" t="s">
        <v>2679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2680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849</v>
      </c>
    </row>
    <row r="66" spans="1:8" s="92" customFormat="1" ht="16" x14ac:dyDescent="0.2"/>
    <row r="67" spans="1:8" s="92" customFormat="1" ht="16" x14ac:dyDescent="0.2">
      <c r="A67" s="135" t="s">
        <v>850</v>
      </c>
    </row>
    <row r="68" spans="1:8" s="92" customFormat="1" ht="16" x14ac:dyDescent="0.2">
      <c r="H68" s="93" t="s">
        <v>851</v>
      </c>
    </row>
    <row r="69" spans="1:8" s="92" customFormat="1" ht="16" x14ac:dyDescent="0.2">
      <c r="A69" s="92" t="s">
        <v>852</v>
      </c>
    </row>
    <row r="70" spans="1:8" s="92" customFormat="1" ht="16" x14ac:dyDescent="0.2">
      <c r="A70" s="110" t="s">
        <v>570</v>
      </c>
      <c r="B70" s="110" t="s">
        <v>853</v>
      </c>
      <c r="C70" s="110" t="s">
        <v>854</v>
      </c>
      <c r="E70" s="92" t="s">
        <v>855</v>
      </c>
    </row>
    <row r="71" spans="1:8" s="92" customFormat="1" ht="16" x14ac:dyDescent="0.2">
      <c r="A71" s="105">
        <v>0</v>
      </c>
      <c r="B71" s="467">
        <v>0</v>
      </c>
      <c r="C71" s="694" t="s">
        <v>856</v>
      </c>
      <c r="E71" s="92" t="s">
        <v>857</v>
      </c>
    </row>
    <row r="72" spans="1:8" s="92" customFormat="1" ht="16" x14ac:dyDescent="0.2">
      <c r="A72" s="105" t="s">
        <v>572</v>
      </c>
      <c r="B72" s="467">
        <v>0</v>
      </c>
      <c r="C72" s="695"/>
      <c r="E72" s="92" t="s">
        <v>858</v>
      </c>
    </row>
    <row r="73" spans="1:8" s="92" customFormat="1" ht="16" x14ac:dyDescent="0.2">
      <c r="A73" s="105" t="s">
        <v>572</v>
      </c>
      <c r="B73" s="467">
        <v>0</v>
      </c>
      <c r="C73" s="695"/>
      <c r="E73" s="92" t="s">
        <v>859</v>
      </c>
    </row>
    <row r="74" spans="1:8" s="92" customFormat="1" ht="17" thickBot="1" x14ac:dyDescent="0.25">
      <c r="A74" s="105">
        <v>7</v>
      </c>
      <c r="B74" s="467">
        <v>0</v>
      </c>
      <c r="C74" s="696"/>
    </row>
    <row r="75" spans="1:8" s="92" customFormat="1" ht="17" thickBot="1" x14ac:dyDescent="0.25">
      <c r="A75" s="105">
        <v>8</v>
      </c>
      <c r="B75" s="472">
        <v>200000</v>
      </c>
      <c r="C75" s="697" t="s">
        <v>860</v>
      </c>
      <c r="E75" s="92" t="s">
        <v>861</v>
      </c>
    </row>
    <row r="76" spans="1:8" s="92" customFormat="1" ht="16" x14ac:dyDescent="0.2">
      <c r="A76" s="105">
        <v>9</v>
      </c>
      <c r="B76" s="468">
        <v>200000</v>
      </c>
      <c r="C76" s="698"/>
      <c r="E76" s="92" t="s">
        <v>862</v>
      </c>
    </row>
    <row r="77" spans="1:8" s="92" customFormat="1" ht="16" x14ac:dyDescent="0.2">
      <c r="A77" s="105" t="s">
        <v>572</v>
      </c>
      <c r="B77" s="468">
        <v>200000</v>
      </c>
      <c r="C77" s="698"/>
      <c r="E77" s="92" t="s">
        <v>863</v>
      </c>
    </row>
    <row r="78" spans="1:8" s="92" customFormat="1" ht="17" thickBot="1" x14ac:dyDescent="0.25">
      <c r="A78" s="105" t="s">
        <v>572</v>
      </c>
      <c r="B78" s="468">
        <v>200000</v>
      </c>
      <c r="C78" s="698"/>
    </row>
    <row r="79" spans="1:8" s="92" customFormat="1" ht="17" thickBot="1" x14ac:dyDescent="0.25">
      <c r="A79" s="105">
        <v>37</v>
      </c>
      <c r="B79" s="468">
        <v>200000</v>
      </c>
      <c r="C79" s="699"/>
      <c r="E79" s="95" t="s">
        <v>864</v>
      </c>
      <c r="F79" s="594"/>
      <c r="G79" s="594"/>
      <c r="H79" s="595"/>
    </row>
    <row r="80" spans="1:8" s="92" customFormat="1" ht="17" thickBot="1" x14ac:dyDescent="0.25">
      <c r="E80" s="507" t="s">
        <v>865</v>
      </c>
      <c r="F80" s="596"/>
      <c r="G80" s="596"/>
      <c r="H80" s="597"/>
    </row>
    <row r="81" spans="1:8" s="92" customFormat="1" ht="16" x14ac:dyDescent="0.2">
      <c r="B81" s="599" t="s">
        <v>796</v>
      </c>
      <c r="C81" s="142" t="s">
        <v>797</v>
      </c>
    </row>
    <row r="82" spans="1:8" s="92" customFormat="1" ht="16" x14ac:dyDescent="0.2">
      <c r="B82" s="599" t="s">
        <v>866</v>
      </c>
      <c r="C82" s="142" t="s">
        <v>866</v>
      </c>
      <c r="F82" s="92" t="s">
        <v>867</v>
      </c>
    </row>
    <row r="83" spans="1:8" s="92" customFormat="1" ht="16" x14ac:dyDescent="0.2">
      <c r="B83" s="600" t="s">
        <v>868</v>
      </c>
      <c r="C83" s="598" t="s">
        <v>869</v>
      </c>
      <c r="F83" s="92" t="s">
        <v>870</v>
      </c>
    </row>
    <row r="84" spans="1:8" s="92" customFormat="1" ht="16" x14ac:dyDescent="0.2">
      <c r="B84" s="469">
        <v>0.05</v>
      </c>
      <c r="C84" s="469">
        <v>0.05</v>
      </c>
      <c r="D84" s="92" t="s">
        <v>87</v>
      </c>
      <c r="F84" s="92" t="s">
        <v>871</v>
      </c>
    </row>
    <row r="85" spans="1:8" s="92" customFormat="1" ht="16" x14ac:dyDescent="0.2">
      <c r="B85" s="470">
        <v>7</v>
      </c>
      <c r="C85" s="470">
        <v>30</v>
      </c>
      <c r="D85" s="92" t="s">
        <v>89</v>
      </c>
      <c r="F85" s="92" t="s">
        <v>872</v>
      </c>
    </row>
    <row r="86" spans="1:8" s="92" customFormat="1" ht="16" x14ac:dyDescent="0.2">
      <c r="B86" s="473">
        <f>PV(B84,B85,B87,B88,B89)</f>
        <v>-2184982.788629049</v>
      </c>
      <c r="C86" s="468">
        <f>PV(C84,C85,C87,C88,C89)</f>
        <v>-3074490.2053765673</v>
      </c>
      <c r="D86" s="92" t="s">
        <v>281</v>
      </c>
      <c r="F86" s="92" t="s">
        <v>873</v>
      </c>
    </row>
    <row r="87" spans="1:8" s="92" customFormat="1" ht="16" x14ac:dyDescent="0.2">
      <c r="B87" s="471">
        <v>0</v>
      </c>
      <c r="C87" s="471">
        <v>200000</v>
      </c>
      <c r="D87" s="92" t="s">
        <v>91</v>
      </c>
      <c r="F87" s="92" t="s">
        <v>874</v>
      </c>
    </row>
    <row r="88" spans="1:8" s="92" customFormat="1" ht="16" x14ac:dyDescent="0.2">
      <c r="B88" s="468">
        <f>-C86</f>
        <v>3074490.2053765673</v>
      </c>
      <c r="C88" s="470">
        <v>0</v>
      </c>
      <c r="D88" s="92" t="s">
        <v>105</v>
      </c>
      <c r="F88" s="92" t="s">
        <v>875</v>
      </c>
    </row>
    <row r="89" spans="1:8" s="92" customFormat="1" ht="16" x14ac:dyDescent="0.2">
      <c r="B89" s="470">
        <v>0</v>
      </c>
      <c r="C89" s="470">
        <v>0</v>
      </c>
      <c r="D89" s="92" t="s">
        <v>333</v>
      </c>
      <c r="F89" s="92" t="s">
        <v>876</v>
      </c>
    </row>
    <row r="90" spans="1:8" s="92" customFormat="1" ht="16" x14ac:dyDescent="0.2"/>
    <row r="91" spans="1:8" s="92" customFormat="1" ht="16" x14ac:dyDescent="0.2">
      <c r="A91" s="92" t="s">
        <v>877</v>
      </c>
    </row>
    <row r="92" spans="1:8" s="92" customFormat="1" ht="16" x14ac:dyDescent="0.2">
      <c r="A92" s="92" t="s">
        <v>878</v>
      </c>
    </row>
    <row r="93" spans="1:8" s="92" customFormat="1" ht="16" x14ac:dyDescent="0.2">
      <c r="A93" s="92" t="s">
        <v>879</v>
      </c>
    </row>
    <row r="94" spans="1:8" s="92" customFormat="1" ht="16" x14ac:dyDescent="0.2">
      <c r="A94" s="92" t="s">
        <v>880</v>
      </c>
    </row>
    <row r="95" spans="1:8" s="92" customFormat="1" ht="16" x14ac:dyDescent="0.2"/>
    <row r="96" spans="1:8" s="92" customFormat="1" ht="16" x14ac:dyDescent="0.2">
      <c r="A96" s="166" t="s">
        <v>881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882</v>
      </c>
    </row>
    <row r="98" spans="1:8" s="92" customFormat="1" ht="16" x14ac:dyDescent="0.2">
      <c r="A98" s="92" t="s">
        <v>883</v>
      </c>
    </row>
    <row r="99" spans="1:8" s="92" customFormat="1" ht="16" x14ac:dyDescent="0.2">
      <c r="A99" s="92" t="s">
        <v>884</v>
      </c>
    </row>
    <row r="100" spans="1:8" s="92" customFormat="1" ht="16" x14ac:dyDescent="0.2">
      <c r="A100" s="92" t="s">
        <v>885</v>
      </c>
    </row>
    <row r="101" spans="1:8" s="92" customFormat="1" ht="16" x14ac:dyDescent="0.2"/>
    <row r="102" spans="1:8" s="92" customFormat="1" ht="16" x14ac:dyDescent="0.2">
      <c r="A102" s="110" t="s">
        <v>886</v>
      </c>
      <c r="B102" s="110" t="s">
        <v>887</v>
      </c>
      <c r="D102" s="92" t="s">
        <v>888</v>
      </c>
    </row>
    <row r="103" spans="1:8" s="92" customFormat="1" ht="16" x14ac:dyDescent="0.2">
      <c r="A103" s="105">
        <v>0</v>
      </c>
      <c r="B103" s="115">
        <v>0</v>
      </c>
      <c r="D103" s="92" t="s">
        <v>889</v>
      </c>
    </row>
    <row r="104" spans="1:8" s="92" customFormat="1" ht="16" x14ac:dyDescent="0.2">
      <c r="A104" s="105">
        <v>1</v>
      </c>
      <c r="B104" s="115">
        <v>0</v>
      </c>
      <c r="D104" s="92" t="s">
        <v>890</v>
      </c>
    </row>
    <row r="105" spans="1:8" s="92" customFormat="1" ht="16" x14ac:dyDescent="0.2">
      <c r="A105" s="105">
        <v>2</v>
      </c>
      <c r="B105" s="115">
        <v>0</v>
      </c>
      <c r="D105" s="92" t="s">
        <v>891</v>
      </c>
    </row>
    <row r="106" spans="1:8" s="92" customFormat="1" ht="16" x14ac:dyDescent="0.2">
      <c r="A106" s="105" t="s">
        <v>572</v>
      </c>
      <c r="B106" s="115">
        <v>0</v>
      </c>
    </row>
    <row r="107" spans="1:8" s="92" customFormat="1" ht="16" x14ac:dyDescent="0.2">
      <c r="A107" s="105" t="s">
        <v>572</v>
      </c>
      <c r="B107" s="115">
        <v>0</v>
      </c>
      <c r="D107" s="115" t="s">
        <v>892</v>
      </c>
      <c r="E107" s="142" t="s">
        <v>893</v>
      </c>
    </row>
    <row r="108" spans="1:8" s="92" customFormat="1" ht="16" x14ac:dyDescent="0.2">
      <c r="A108" s="105">
        <v>23</v>
      </c>
      <c r="B108" s="115">
        <v>0</v>
      </c>
      <c r="D108" s="602" t="s">
        <v>796</v>
      </c>
      <c r="E108" s="598" t="s">
        <v>797</v>
      </c>
      <c r="H108" s="92" t="s">
        <v>894</v>
      </c>
    </row>
    <row r="109" spans="1:8" s="92" customFormat="1" ht="16" x14ac:dyDescent="0.2">
      <c r="A109" s="105">
        <v>24</v>
      </c>
      <c r="B109" s="468">
        <v>50000</v>
      </c>
      <c r="C109" s="601" t="s">
        <v>2681</v>
      </c>
      <c r="D109" s="475">
        <f>E109</f>
        <v>7.0000000000000001E-3</v>
      </c>
      <c r="E109" s="475">
        <v>7.0000000000000001E-3</v>
      </c>
      <c r="F109" s="92" t="s">
        <v>87</v>
      </c>
      <c r="H109" s="92" t="s">
        <v>895</v>
      </c>
    </row>
    <row r="110" spans="1:8" s="92" customFormat="1" ht="16" x14ac:dyDescent="0.2">
      <c r="A110" s="105" t="s">
        <v>572</v>
      </c>
      <c r="B110" s="113">
        <f>B109</f>
        <v>50000</v>
      </c>
      <c r="C110" s="601" t="s">
        <v>2682</v>
      </c>
      <c r="D110" s="470">
        <v>23</v>
      </c>
      <c r="E110" s="470">
        <v>144</v>
      </c>
      <c r="F110" s="92" t="s">
        <v>89</v>
      </c>
      <c r="H110" s="477">
        <f>-D111</f>
        <v>3855888.5862081484</v>
      </c>
    </row>
    <row r="111" spans="1:8" s="92" customFormat="1" ht="16" x14ac:dyDescent="0.2">
      <c r="A111" s="105" t="s">
        <v>572</v>
      </c>
      <c r="B111" s="113">
        <f>B110</f>
        <v>50000</v>
      </c>
      <c r="C111" s="601" t="s">
        <v>2683</v>
      </c>
      <c r="D111" s="476">
        <f>PV(D109,D110,D112,D113,D114)</f>
        <v>-3855888.5862081484</v>
      </c>
      <c r="E111" s="468">
        <f>PV(E109,E110,E112,E113,E114)</f>
        <v>-4526914.5772060025</v>
      </c>
      <c r="F111" s="92" t="s">
        <v>281</v>
      </c>
    </row>
    <row r="112" spans="1:8" s="92" customFormat="1" ht="16" x14ac:dyDescent="0.2">
      <c r="A112" s="474">
        <v>167</v>
      </c>
      <c r="B112" s="113">
        <f>B111</f>
        <v>50000</v>
      </c>
      <c r="C112" s="601" t="s">
        <v>2684</v>
      </c>
      <c r="D112" s="471">
        <v>0</v>
      </c>
      <c r="E112" s="471">
        <v>50000</v>
      </c>
      <c r="F112" s="92" t="s">
        <v>91</v>
      </c>
    </row>
    <row r="113" spans="1:11" s="92" customFormat="1" ht="16" x14ac:dyDescent="0.2">
      <c r="A113" s="474"/>
      <c r="B113" s="474"/>
      <c r="D113" s="468">
        <f>-E111</f>
        <v>4526914.5772060025</v>
      </c>
      <c r="E113" s="470">
        <v>0</v>
      </c>
      <c r="F113" s="92" t="s">
        <v>105</v>
      </c>
    </row>
    <row r="114" spans="1:11" s="92" customFormat="1" ht="16" x14ac:dyDescent="0.2">
      <c r="D114" s="470">
        <v>0</v>
      </c>
      <c r="E114" s="470">
        <v>0</v>
      </c>
      <c r="F114" s="92" t="s">
        <v>333</v>
      </c>
    </row>
    <row r="115" spans="1:11" s="92" customFormat="1" ht="16" x14ac:dyDescent="0.2">
      <c r="J115" s="105" t="s">
        <v>737</v>
      </c>
      <c r="K115" s="105" t="s">
        <v>737</v>
      </c>
    </row>
    <row r="116" spans="1:11" s="92" customFormat="1" ht="16" x14ac:dyDescent="0.2">
      <c r="A116" s="94" t="s">
        <v>896</v>
      </c>
      <c r="B116" s="94" t="s">
        <v>897</v>
      </c>
      <c r="C116" s="94"/>
      <c r="D116" s="94"/>
      <c r="E116" s="94"/>
      <c r="F116" s="94"/>
      <c r="G116" s="94"/>
      <c r="H116" s="94"/>
      <c r="I116" s="110" t="s">
        <v>898</v>
      </c>
      <c r="J116" s="110" t="s">
        <v>899</v>
      </c>
      <c r="K116" s="110" t="s">
        <v>900</v>
      </c>
    </row>
    <row r="117" spans="1:11" s="92" customFormat="1" ht="16" x14ac:dyDescent="0.2">
      <c r="A117" s="92" t="s">
        <v>901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902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903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2685</v>
      </c>
      <c r="I120" s="105" t="s">
        <v>572</v>
      </c>
      <c r="J120" s="105">
        <v>0</v>
      </c>
      <c r="K120" s="105">
        <v>0</v>
      </c>
    </row>
    <row r="121" spans="1:11" s="92" customFormat="1" ht="16" x14ac:dyDescent="0.2">
      <c r="A121" s="92" t="s">
        <v>904</v>
      </c>
      <c r="I121" s="105" t="s">
        <v>572</v>
      </c>
      <c r="J121" s="105">
        <v>0</v>
      </c>
      <c r="K121" s="105">
        <v>0</v>
      </c>
    </row>
    <row r="122" spans="1:11" s="92" customFormat="1" ht="17" thickBot="1" x14ac:dyDescent="0.25">
      <c r="A122" s="92" t="s">
        <v>905</v>
      </c>
      <c r="I122" s="105" t="s">
        <v>572</v>
      </c>
      <c r="J122" s="105">
        <v>0</v>
      </c>
      <c r="K122" s="105">
        <v>0</v>
      </c>
    </row>
    <row r="123" spans="1:11" s="92" customFormat="1" ht="16" x14ac:dyDescent="0.2">
      <c r="I123" s="478">
        <v>50</v>
      </c>
      <c r="J123" s="479">
        <v>5000</v>
      </c>
      <c r="K123" s="603">
        <v>500</v>
      </c>
    </row>
    <row r="124" spans="1:11" s="92" customFormat="1" ht="16" x14ac:dyDescent="0.2">
      <c r="A124" s="93" t="s">
        <v>111</v>
      </c>
      <c r="I124" s="142">
        <v>51</v>
      </c>
      <c r="J124" s="133"/>
      <c r="K124" s="604">
        <v>500</v>
      </c>
    </row>
    <row r="125" spans="1:11" s="92" customFormat="1" ht="16" x14ac:dyDescent="0.2">
      <c r="I125" s="142">
        <f>I124+1</f>
        <v>52</v>
      </c>
      <c r="J125" s="133"/>
      <c r="K125" s="604">
        <f>K124</f>
        <v>500</v>
      </c>
    </row>
    <row r="126" spans="1:11" s="92" customFormat="1" ht="16" x14ac:dyDescent="0.2">
      <c r="A126" s="92" t="s">
        <v>906</v>
      </c>
      <c r="I126" s="142" t="s">
        <v>572</v>
      </c>
      <c r="J126" s="133"/>
      <c r="K126" s="604">
        <f t="shared" ref="K126:K128" si="0">K125</f>
        <v>500</v>
      </c>
    </row>
    <row r="127" spans="1:11" s="92" customFormat="1" ht="16" x14ac:dyDescent="0.2">
      <c r="A127" s="92" t="s">
        <v>907</v>
      </c>
      <c r="I127" s="142" t="s">
        <v>572</v>
      </c>
      <c r="J127" s="133"/>
      <c r="K127" s="604">
        <f t="shared" si="0"/>
        <v>500</v>
      </c>
    </row>
    <row r="128" spans="1:11" s="92" customFormat="1" ht="17" thickBot="1" x14ac:dyDescent="0.25">
      <c r="A128" s="92" t="s">
        <v>908</v>
      </c>
      <c r="I128" s="142">
        <v>61</v>
      </c>
      <c r="J128" s="133"/>
      <c r="K128" s="605">
        <f t="shared" si="0"/>
        <v>500</v>
      </c>
    </row>
    <row r="129" spans="1:11" s="92" customFormat="1" ht="16" x14ac:dyDescent="0.2">
      <c r="A129" s="92" t="s">
        <v>909</v>
      </c>
      <c r="B129" s="92" t="s">
        <v>910</v>
      </c>
    </row>
    <row r="130" spans="1:11" s="92" customFormat="1" ht="16" x14ac:dyDescent="0.2">
      <c r="B130" s="92" t="s">
        <v>911</v>
      </c>
    </row>
    <row r="131" spans="1:11" s="92" customFormat="1" ht="16" x14ac:dyDescent="0.2">
      <c r="B131" s="92" t="s">
        <v>912</v>
      </c>
    </row>
    <row r="132" spans="1:11" s="92" customFormat="1" ht="16" x14ac:dyDescent="0.2">
      <c r="B132" s="92" t="s">
        <v>913</v>
      </c>
    </row>
    <row r="133" spans="1:11" s="92" customFormat="1" ht="16" x14ac:dyDescent="0.2"/>
    <row r="134" spans="1:11" s="92" customFormat="1" ht="16" x14ac:dyDescent="0.2">
      <c r="F134" s="703" t="s">
        <v>914</v>
      </c>
      <c r="G134" s="703"/>
      <c r="H134" s="703"/>
      <c r="I134" s="703"/>
      <c r="J134" s="110" t="s">
        <v>915</v>
      </c>
    </row>
    <row r="135" spans="1:11" s="92" customFormat="1" ht="16" x14ac:dyDescent="0.2">
      <c r="F135" s="108">
        <f>J135</f>
        <v>1E-3</v>
      </c>
      <c r="I135" s="475"/>
      <c r="J135" s="475">
        <v>1E-3</v>
      </c>
      <c r="K135" s="92" t="s">
        <v>87</v>
      </c>
    </row>
    <row r="136" spans="1:11" s="92" customFormat="1" ht="16" x14ac:dyDescent="0.2">
      <c r="F136" s="105">
        <v>50</v>
      </c>
      <c r="I136" s="470"/>
      <c r="J136" s="470">
        <v>11</v>
      </c>
      <c r="K136" s="92" t="s">
        <v>89</v>
      </c>
    </row>
    <row r="137" spans="1:11" s="92" customFormat="1" ht="16" x14ac:dyDescent="0.2">
      <c r="F137" s="105">
        <v>0</v>
      </c>
      <c r="I137" s="471"/>
      <c r="J137" s="468">
        <f>PV(J135,J136,J138,J139,J140)</f>
        <v>-5467.1425009967479</v>
      </c>
      <c r="K137" s="92" t="s">
        <v>281</v>
      </c>
    </row>
    <row r="138" spans="1:11" s="92" customFormat="1" ht="16" x14ac:dyDescent="0.2">
      <c r="B138" s="92" t="s">
        <v>916</v>
      </c>
      <c r="F138" s="481">
        <f>PMT(F135,F136,F137,F139,F140)</f>
        <v>-214.01460361805181</v>
      </c>
      <c r="I138" s="471"/>
      <c r="J138" s="471">
        <f>K124</f>
        <v>500</v>
      </c>
      <c r="K138" s="92" t="s">
        <v>91</v>
      </c>
    </row>
    <row r="139" spans="1:11" s="92" customFormat="1" ht="16" x14ac:dyDescent="0.2">
      <c r="B139" s="92" t="s">
        <v>917</v>
      </c>
      <c r="F139" s="479">
        <f>I139+5500</f>
        <v>10967.142500996748</v>
      </c>
      <c r="H139" s="92" t="s">
        <v>918</v>
      </c>
      <c r="I139" s="471">
        <f>-J137</f>
        <v>5467.1425009967479</v>
      </c>
      <c r="J139" s="470">
        <v>0</v>
      </c>
      <c r="K139" s="92" t="s">
        <v>105</v>
      </c>
    </row>
    <row r="140" spans="1:11" s="92" customFormat="1" ht="16" x14ac:dyDescent="0.2">
      <c r="B140" s="92" t="s">
        <v>919</v>
      </c>
      <c r="F140" s="105">
        <v>0</v>
      </c>
      <c r="I140" s="470"/>
      <c r="J140" s="470">
        <v>0</v>
      </c>
      <c r="K140" s="92" t="s">
        <v>333</v>
      </c>
    </row>
    <row r="141" spans="1:11" s="92" customFormat="1" ht="16" x14ac:dyDescent="0.2"/>
    <row r="142" spans="1:11" s="92" customFormat="1" ht="16" x14ac:dyDescent="0.2">
      <c r="B142" s="93" t="s">
        <v>920</v>
      </c>
    </row>
    <row r="143" spans="1:11" s="92" customFormat="1" ht="16" x14ac:dyDescent="0.2">
      <c r="B143" s="93" t="s">
        <v>921</v>
      </c>
    </row>
    <row r="144" spans="1:11" s="92" customFormat="1" ht="16" x14ac:dyDescent="0.2"/>
    <row r="145" spans="1:11" s="92" customFormat="1" ht="16" x14ac:dyDescent="0.2">
      <c r="F145" s="703" t="s">
        <v>914</v>
      </c>
      <c r="G145" s="703"/>
      <c r="H145" s="703"/>
      <c r="I145" s="703"/>
      <c r="J145" s="110" t="s">
        <v>915</v>
      </c>
    </row>
    <row r="146" spans="1:11" s="92" customFormat="1" ht="16" x14ac:dyDescent="0.2">
      <c r="F146" s="108">
        <v>1E-3</v>
      </c>
      <c r="I146" s="475"/>
      <c r="J146" s="475">
        <v>1E-3</v>
      </c>
      <c r="K146" s="92" t="s">
        <v>87</v>
      </c>
    </row>
    <row r="147" spans="1:11" s="92" customFormat="1" ht="21" x14ac:dyDescent="0.25">
      <c r="F147" s="105">
        <v>50</v>
      </c>
      <c r="I147" s="470"/>
      <c r="J147" s="439">
        <v>12</v>
      </c>
      <c r="K147" s="92" t="s">
        <v>89</v>
      </c>
    </row>
    <row r="148" spans="1:11" s="92" customFormat="1" ht="16" x14ac:dyDescent="0.2">
      <c r="F148" s="105">
        <v>0</v>
      </c>
      <c r="I148" s="471"/>
      <c r="J148" s="468">
        <f>PV(J146,J147,J149,J150,J151)</f>
        <v>-5967.142500996717</v>
      </c>
      <c r="K148" s="92" t="s">
        <v>281</v>
      </c>
    </row>
    <row r="149" spans="1:11" s="92" customFormat="1" ht="16" x14ac:dyDescent="0.2">
      <c r="B149" s="92" t="s">
        <v>916</v>
      </c>
      <c r="F149" s="481">
        <f>PMT(F146,F147,F148,F150,F151)</f>
        <v>-214.01460361805181</v>
      </c>
      <c r="I149" s="471"/>
      <c r="J149" s="471">
        <v>500</v>
      </c>
      <c r="K149" s="92" t="s">
        <v>91</v>
      </c>
    </row>
    <row r="150" spans="1:11" s="92" customFormat="1" ht="16" x14ac:dyDescent="0.2">
      <c r="B150" s="92" t="s">
        <v>917</v>
      </c>
      <c r="F150" s="479">
        <f>F139</f>
        <v>10967.142500996748</v>
      </c>
      <c r="H150" s="92" t="s">
        <v>922</v>
      </c>
      <c r="I150" s="471">
        <f>-J148</f>
        <v>5967.142500996717</v>
      </c>
      <c r="J150" s="470">
        <v>0</v>
      </c>
      <c r="K150" s="92" t="s">
        <v>105</v>
      </c>
    </row>
    <row r="151" spans="1:11" s="92" customFormat="1" ht="21" x14ac:dyDescent="0.25">
      <c r="B151" s="92" t="s">
        <v>919</v>
      </c>
      <c r="F151" s="105">
        <v>0</v>
      </c>
      <c r="I151" s="470"/>
      <c r="J151" s="439">
        <v>1</v>
      </c>
      <c r="K151" s="92" t="s">
        <v>333</v>
      </c>
    </row>
    <row r="152" spans="1:11" s="92" customFormat="1" ht="16" x14ac:dyDescent="0.2"/>
    <row r="153" spans="1:11" s="92" customFormat="1" ht="16" x14ac:dyDescent="0.2">
      <c r="A153" s="92" t="s">
        <v>2692</v>
      </c>
    </row>
    <row r="154" spans="1:11" s="92" customFormat="1" ht="16" x14ac:dyDescent="0.2"/>
    <row r="155" spans="1:11" s="92" customFormat="1" ht="16" x14ac:dyDescent="0.2"/>
    <row r="156" spans="1:11" s="92" customFormat="1" ht="16" x14ac:dyDescent="0.2"/>
    <row r="157" spans="1:11" s="92" customFormat="1" ht="16" x14ac:dyDescent="0.2">
      <c r="E157" s="92" t="s">
        <v>2686</v>
      </c>
      <c r="H157" s="92" t="s">
        <v>945</v>
      </c>
    </row>
    <row r="158" spans="1:11" s="92" customFormat="1" ht="16" x14ac:dyDescent="0.2"/>
    <row r="159" spans="1:11" s="92" customFormat="1" ht="16" x14ac:dyDescent="0.2"/>
    <row r="160" spans="1:11" s="92" customFormat="1" ht="16" x14ac:dyDescent="0.2"/>
    <row r="161" spans="1:8" s="92" customFormat="1" ht="16" x14ac:dyDescent="0.2"/>
    <row r="162" spans="1:8" s="92" customFormat="1" ht="16" x14ac:dyDescent="0.2">
      <c r="F162" s="92" t="s">
        <v>2687</v>
      </c>
      <c r="H162" s="92" t="s">
        <v>2689</v>
      </c>
    </row>
    <row r="163" spans="1:8" s="92" customFormat="1" ht="16" x14ac:dyDescent="0.2">
      <c r="F163" s="92" t="s">
        <v>2688</v>
      </c>
      <c r="H163" s="92" t="s">
        <v>2690</v>
      </c>
    </row>
    <row r="164" spans="1:8" s="92" customFormat="1" ht="16" x14ac:dyDescent="0.2">
      <c r="H164" s="92" t="s">
        <v>2691</v>
      </c>
    </row>
    <row r="165" spans="1:8" s="92" customFormat="1" ht="17" thickBot="1" x14ac:dyDescent="0.25"/>
    <row r="166" spans="1:8" s="92" customFormat="1" ht="16" x14ac:dyDescent="0.2">
      <c r="A166" s="95" t="s">
        <v>2693</v>
      </c>
      <c r="B166" s="594"/>
      <c r="C166" s="594"/>
      <c r="D166" s="594"/>
      <c r="E166" s="594"/>
      <c r="F166" s="595"/>
    </row>
    <row r="167" spans="1:8" s="92" customFormat="1" ht="16" x14ac:dyDescent="0.2">
      <c r="A167" s="506" t="s">
        <v>2694</v>
      </c>
      <c r="B167" s="93"/>
      <c r="C167" s="93"/>
      <c r="D167" s="93"/>
      <c r="E167" s="93"/>
      <c r="F167" s="606"/>
    </row>
    <row r="168" spans="1:8" s="92" customFormat="1" ht="16" x14ac:dyDescent="0.2">
      <c r="A168" s="506"/>
      <c r="B168" s="93" t="s">
        <v>2695</v>
      </c>
      <c r="C168" s="93"/>
      <c r="D168" s="93"/>
      <c r="E168" s="93"/>
      <c r="F168" s="606"/>
    </row>
    <row r="169" spans="1:8" s="92" customFormat="1" ht="16" x14ac:dyDescent="0.2">
      <c r="A169" s="506"/>
      <c r="B169" s="93" t="s">
        <v>2696</v>
      </c>
      <c r="C169" s="93"/>
      <c r="D169" s="93"/>
      <c r="E169" s="93"/>
      <c r="F169" s="606"/>
    </row>
    <row r="170" spans="1:8" s="92" customFormat="1" ht="17" thickBot="1" x14ac:dyDescent="0.25">
      <c r="A170" s="507"/>
      <c r="B170" s="596" t="s">
        <v>2697</v>
      </c>
      <c r="C170" s="596"/>
      <c r="D170" s="596"/>
      <c r="E170" s="596"/>
      <c r="F170" s="597"/>
    </row>
    <row r="171" spans="1:8" s="92" customFormat="1" ht="16" x14ac:dyDescent="0.2"/>
    <row r="172" spans="1:8" s="92" customFormat="1" ht="16" x14ac:dyDescent="0.2"/>
    <row r="173" spans="1:8" s="92" customFormat="1" ht="16" x14ac:dyDescent="0.2"/>
    <row r="174" spans="1:8" s="92" customFormat="1" ht="16" x14ac:dyDescent="0.2"/>
    <row r="175" spans="1:8" s="92" customFormat="1" ht="16" x14ac:dyDescent="0.2">
      <c r="A175" s="94" t="s">
        <v>923</v>
      </c>
      <c r="B175" s="94" t="s">
        <v>924</v>
      </c>
      <c r="C175" s="94"/>
      <c r="D175" s="94"/>
      <c r="E175" s="94"/>
      <c r="F175" s="94"/>
      <c r="G175" s="94"/>
      <c r="H175" s="94"/>
    </row>
    <row r="176" spans="1:8" s="92" customFormat="1" ht="16" x14ac:dyDescent="0.2"/>
    <row r="177" spans="1:9" s="92" customFormat="1" ht="16" x14ac:dyDescent="0.2">
      <c r="A177" s="92" t="s">
        <v>925</v>
      </c>
    </row>
    <row r="178" spans="1:9" s="92" customFormat="1" ht="16" x14ac:dyDescent="0.2">
      <c r="A178" s="92" t="s">
        <v>926</v>
      </c>
    </row>
    <row r="179" spans="1:9" s="92" customFormat="1" ht="16" x14ac:dyDescent="0.2">
      <c r="A179" s="92" t="s">
        <v>927</v>
      </c>
    </row>
    <row r="180" spans="1:9" s="92" customFormat="1" ht="16" x14ac:dyDescent="0.2"/>
    <row r="181" spans="1:9" s="92" customFormat="1" ht="16" x14ac:dyDescent="0.2">
      <c r="A181" s="92" t="s">
        <v>928</v>
      </c>
    </row>
    <row r="182" spans="1:9" s="92" customFormat="1" ht="16" x14ac:dyDescent="0.2"/>
    <row r="183" spans="1:9" s="92" customFormat="1" ht="16" x14ac:dyDescent="0.2">
      <c r="A183" s="110" t="s">
        <v>929</v>
      </c>
      <c r="B183" s="110" t="s">
        <v>930</v>
      </c>
      <c r="C183" s="111" t="s">
        <v>931</v>
      </c>
      <c r="F183" s="105" t="s">
        <v>932</v>
      </c>
      <c r="G183" s="105" t="s">
        <v>933</v>
      </c>
      <c r="H183" s="105" t="s">
        <v>934</v>
      </c>
    </row>
    <row r="184" spans="1:9" s="92" customFormat="1" ht="16" x14ac:dyDescent="0.2">
      <c r="A184" s="105">
        <v>0</v>
      </c>
      <c r="B184" s="105"/>
      <c r="C184" s="480"/>
      <c r="F184" s="105" t="s">
        <v>935</v>
      </c>
      <c r="G184" s="105" t="s">
        <v>936</v>
      </c>
      <c r="H184" s="105" t="s">
        <v>937</v>
      </c>
    </row>
    <row r="185" spans="1:9" s="92" customFormat="1" ht="16" x14ac:dyDescent="0.2">
      <c r="A185" s="105">
        <v>1</v>
      </c>
      <c r="B185" s="105"/>
      <c r="C185" s="480"/>
      <c r="F185" s="105" t="s">
        <v>938</v>
      </c>
      <c r="G185" s="105" t="s">
        <v>939</v>
      </c>
      <c r="H185" s="105" t="s">
        <v>940</v>
      </c>
    </row>
    <row r="186" spans="1:9" s="92" customFormat="1" ht="16" x14ac:dyDescent="0.2">
      <c r="A186" s="105">
        <v>2</v>
      </c>
      <c r="B186" s="105"/>
      <c r="C186" s="480"/>
      <c r="E186" s="92" t="s">
        <v>941</v>
      </c>
      <c r="F186" s="110" t="s">
        <v>942</v>
      </c>
      <c r="G186" s="110" t="s">
        <v>943</v>
      </c>
      <c r="H186" s="110" t="s">
        <v>944</v>
      </c>
    </row>
    <row r="187" spans="1:9" s="92" customFormat="1" ht="16" x14ac:dyDescent="0.2">
      <c r="A187" s="105" t="s">
        <v>572</v>
      </c>
      <c r="B187" s="105"/>
      <c r="C187" s="480"/>
      <c r="E187" s="92" t="s">
        <v>945</v>
      </c>
      <c r="F187" s="108">
        <v>5.0000000000000001E-3</v>
      </c>
      <c r="G187" s="105"/>
      <c r="H187" s="108">
        <v>5.0000000000000001E-3</v>
      </c>
      <c r="I187" s="92" t="s">
        <v>87</v>
      </c>
    </row>
    <row r="188" spans="1:9" s="92" customFormat="1" ht="16" x14ac:dyDescent="0.2">
      <c r="A188" s="105" t="s">
        <v>572</v>
      </c>
      <c r="B188" s="105"/>
      <c r="C188" s="480"/>
      <c r="E188" s="92" t="s">
        <v>946</v>
      </c>
      <c r="F188" s="105">
        <v>14</v>
      </c>
      <c r="G188" s="105"/>
      <c r="H188" s="105">
        <v>11</v>
      </c>
      <c r="I188" s="92" t="s">
        <v>89</v>
      </c>
    </row>
    <row r="189" spans="1:9" s="92" customFormat="1" ht="16" x14ac:dyDescent="0.2">
      <c r="A189" s="110">
        <v>14</v>
      </c>
      <c r="B189" s="483">
        <v>10000</v>
      </c>
      <c r="C189" s="482">
        <v>800</v>
      </c>
      <c r="E189" s="92" t="s">
        <v>947</v>
      </c>
      <c r="F189" s="105">
        <v>0</v>
      </c>
      <c r="G189" s="105"/>
      <c r="H189" s="468">
        <f>PV(H187,H188,H190,H191,H192)</f>
        <v>-8541.6213817201678</v>
      </c>
      <c r="I189" s="92" t="s">
        <v>281</v>
      </c>
    </row>
    <row r="190" spans="1:9" s="92" customFormat="1" ht="16" x14ac:dyDescent="0.2">
      <c r="A190" s="105">
        <v>15</v>
      </c>
      <c r="B190" s="142"/>
      <c r="C190" s="142">
        <f>C189</f>
        <v>800</v>
      </c>
      <c r="E190" s="92" t="s">
        <v>948</v>
      </c>
      <c r="F190" s="481">
        <f>PMT(F187,F188,F189,F191,F192)</f>
        <v>-1337.2040001294445</v>
      </c>
      <c r="G190" s="105"/>
      <c r="H190" s="105">
        <v>800</v>
      </c>
      <c r="I190" s="92" t="s">
        <v>91</v>
      </c>
    </row>
    <row r="191" spans="1:9" s="92" customFormat="1" ht="16" x14ac:dyDescent="0.2">
      <c r="A191" s="105" t="s">
        <v>572</v>
      </c>
      <c r="B191" s="142"/>
      <c r="C191" s="142">
        <f>C190</f>
        <v>800</v>
      </c>
      <c r="F191" s="112">
        <f>-H189+B189+C189</f>
        <v>19341.621381720168</v>
      </c>
      <c r="G191" s="478" t="s">
        <v>949</v>
      </c>
      <c r="H191" s="105">
        <v>0</v>
      </c>
      <c r="I191" s="92" t="s">
        <v>105</v>
      </c>
    </row>
    <row r="192" spans="1:9" s="92" customFormat="1" ht="16" x14ac:dyDescent="0.2">
      <c r="A192" s="105" t="s">
        <v>572</v>
      </c>
      <c r="B192" s="142"/>
      <c r="C192" s="142">
        <f>C191</f>
        <v>800</v>
      </c>
      <c r="F192" s="105">
        <v>0</v>
      </c>
      <c r="G192" s="105"/>
      <c r="H192" s="105">
        <v>0</v>
      </c>
      <c r="I192" s="92" t="s">
        <v>333</v>
      </c>
    </row>
    <row r="193" spans="1:9" s="92" customFormat="1" ht="16" x14ac:dyDescent="0.2">
      <c r="A193" s="105">
        <v>25</v>
      </c>
      <c r="B193" s="142"/>
      <c r="C193" s="142">
        <f>C192</f>
        <v>800</v>
      </c>
    </row>
    <row r="194" spans="1:9" s="92" customFormat="1" ht="16" x14ac:dyDescent="0.2">
      <c r="F194" s="105" t="s">
        <v>932</v>
      </c>
      <c r="G194" s="105" t="s">
        <v>933</v>
      </c>
      <c r="H194" s="105" t="s">
        <v>934</v>
      </c>
    </row>
    <row r="195" spans="1:9" s="92" customFormat="1" ht="16" x14ac:dyDescent="0.2">
      <c r="F195" s="105" t="s">
        <v>935</v>
      </c>
      <c r="G195" s="105" t="s">
        <v>936</v>
      </c>
      <c r="H195" s="105" t="s">
        <v>937</v>
      </c>
    </row>
    <row r="196" spans="1:9" s="92" customFormat="1" ht="16" x14ac:dyDescent="0.2">
      <c r="F196" s="105" t="s">
        <v>938</v>
      </c>
      <c r="G196" s="105" t="s">
        <v>939</v>
      </c>
      <c r="H196" s="105" t="s">
        <v>940</v>
      </c>
    </row>
    <row r="197" spans="1:9" s="92" customFormat="1" ht="16" x14ac:dyDescent="0.2">
      <c r="E197" s="92" t="s">
        <v>950</v>
      </c>
      <c r="F197" s="110" t="s">
        <v>942</v>
      </c>
      <c r="G197" s="110" t="s">
        <v>943</v>
      </c>
      <c r="H197" s="110" t="s">
        <v>944</v>
      </c>
    </row>
    <row r="198" spans="1:9" s="92" customFormat="1" ht="16" x14ac:dyDescent="0.2">
      <c r="E198" s="92" t="s">
        <v>951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E199" s="92" t="s">
        <v>952</v>
      </c>
      <c r="F199" s="105">
        <v>14</v>
      </c>
      <c r="G199" s="105"/>
      <c r="H199" s="105">
        <v>12</v>
      </c>
      <c r="I199" s="92" t="s">
        <v>89</v>
      </c>
    </row>
    <row r="200" spans="1:9" s="92" customFormat="1" ht="16" x14ac:dyDescent="0.2">
      <c r="E200" s="92" t="s">
        <v>953</v>
      </c>
      <c r="F200" s="105">
        <v>0</v>
      </c>
      <c r="G200" s="105"/>
      <c r="H200" s="468">
        <f>PV(H198,H199,H201,H202,H203)</f>
        <v>-9341.6213817201133</v>
      </c>
      <c r="I200" s="92" t="s">
        <v>281</v>
      </c>
    </row>
    <row r="201" spans="1:9" s="92" customFormat="1" ht="16" x14ac:dyDescent="0.2">
      <c r="E201" s="92" t="s">
        <v>954</v>
      </c>
      <c r="F201" s="481">
        <f>PMT(F198,F199,F200,F202,F203)</f>
        <v>-1337.2040001294406</v>
      </c>
      <c r="G201" s="105"/>
      <c r="H201" s="105">
        <v>800</v>
      </c>
      <c r="I201" s="92" t="s">
        <v>91</v>
      </c>
    </row>
    <row r="202" spans="1:9" s="92" customFormat="1" ht="16" x14ac:dyDescent="0.2">
      <c r="F202" s="112">
        <f>-H200+B189</f>
        <v>19341.621381720113</v>
      </c>
      <c r="G202" s="478" t="s">
        <v>955</v>
      </c>
      <c r="H202" s="105">
        <v>0</v>
      </c>
      <c r="I202" s="92" t="s">
        <v>105</v>
      </c>
    </row>
    <row r="203" spans="1:9" s="92" customFormat="1" ht="16" x14ac:dyDescent="0.2">
      <c r="F203" s="105">
        <v>0</v>
      </c>
      <c r="G203" s="105"/>
      <c r="H203" s="105">
        <v>1</v>
      </c>
      <c r="I203" s="92" t="s">
        <v>333</v>
      </c>
    </row>
    <row r="204" spans="1:9" s="92" customFormat="1" ht="16" x14ac:dyDescent="0.2"/>
    <row r="205" spans="1:9" s="92" customFormat="1" ht="16" x14ac:dyDescent="0.2"/>
    <row r="206" spans="1:9" s="92" customFormat="1" ht="16" x14ac:dyDescent="0.2"/>
    <row r="207" spans="1:9" s="92" customFormat="1" ht="16" x14ac:dyDescent="0.2"/>
    <row r="208" spans="1:9" s="92" customFormat="1" ht="16" x14ac:dyDescent="0.2"/>
    <row r="209" spans="1:8" s="92" customFormat="1" ht="16" x14ac:dyDescent="0.2">
      <c r="A209" s="94" t="s">
        <v>753</v>
      </c>
      <c r="B209" s="94" t="s">
        <v>833</v>
      </c>
      <c r="C209" s="94"/>
      <c r="D209" s="94"/>
      <c r="E209" s="94"/>
      <c r="F209" s="94"/>
      <c r="G209" s="94"/>
      <c r="H209" s="94"/>
    </row>
    <row r="210" spans="1:8" s="92" customFormat="1" ht="16" x14ac:dyDescent="0.2">
      <c r="A210" s="92" t="s">
        <v>956</v>
      </c>
    </row>
    <row r="211" spans="1:8" s="92" customFormat="1" ht="16" x14ac:dyDescent="0.2">
      <c r="A211" s="92" t="s">
        <v>957</v>
      </c>
    </row>
    <row r="212" spans="1:8" s="92" customFormat="1" ht="16" x14ac:dyDescent="0.2">
      <c r="A212" s="92" t="s">
        <v>958</v>
      </c>
    </row>
    <row r="213" spans="1:8" s="92" customFormat="1" ht="16" x14ac:dyDescent="0.2">
      <c r="A213" s="92" t="s">
        <v>959</v>
      </c>
    </row>
    <row r="214" spans="1:8" s="92" customFormat="1" ht="16" x14ac:dyDescent="0.2"/>
    <row r="215" spans="1:8" s="92" customFormat="1" ht="16" x14ac:dyDescent="0.2">
      <c r="A215" s="92" t="s">
        <v>960</v>
      </c>
    </row>
    <row r="216" spans="1:8" s="92" customFormat="1" ht="16" x14ac:dyDescent="0.2"/>
    <row r="217" spans="1:8" s="92" customFormat="1" ht="16" x14ac:dyDescent="0.2">
      <c r="A217" s="110" t="s">
        <v>961</v>
      </c>
      <c r="B217" s="110" t="s">
        <v>938</v>
      </c>
      <c r="C217" s="110" t="s">
        <v>854</v>
      </c>
      <c r="F217" s="110" t="s">
        <v>962</v>
      </c>
      <c r="G217" s="110"/>
    </row>
    <row r="218" spans="1:8" s="92" customFormat="1" ht="16" x14ac:dyDescent="0.2">
      <c r="A218" s="105">
        <v>2</v>
      </c>
      <c r="B218" s="105">
        <v>500</v>
      </c>
      <c r="C218" s="700" t="s">
        <v>963</v>
      </c>
      <c r="F218" s="105">
        <v>0</v>
      </c>
      <c r="G218" s="114">
        <f>-C229</f>
        <v>1270.2205233101586</v>
      </c>
    </row>
    <row r="219" spans="1:8" s="92" customFormat="1" ht="16" x14ac:dyDescent="0.2">
      <c r="A219" s="105">
        <v>4</v>
      </c>
      <c r="B219" s="105">
        <f>B218</f>
        <v>500</v>
      </c>
      <c r="C219" s="701"/>
      <c r="G219" s="92" t="s">
        <v>964</v>
      </c>
    </row>
    <row r="220" spans="1:8" s="92" customFormat="1" ht="16" x14ac:dyDescent="0.2">
      <c r="A220" s="105">
        <v>6</v>
      </c>
      <c r="B220" s="105">
        <f>B219</f>
        <v>500</v>
      </c>
      <c r="C220" s="701"/>
    </row>
    <row r="221" spans="1:8" s="92" customFormat="1" ht="16" x14ac:dyDescent="0.2">
      <c r="A221" s="105">
        <v>8</v>
      </c>
      <c r="B221" s="105">
        <f>B220</f>
        <v>500</v>
      </c>
      <c r="C221" s="701"/>
    </row>
    <row r="222" spans="1:8" s="92" customFormat="1" ht="16" x14ac:dyDescent="0.2"/>
    <row r="223" spans="1:8" s="92" customFormat="1" ht="16" x14ac:dyDescent="0.2">
      <c r="A223" s="92" t="s">
        <v>965</v>
      </c>
    </row>
    <row r="224" spans="1:8" s="92" customFormat="1" ht="16" x14ac:dyDescent="0.2"/>
    <row r="225" spans="1:8" s="92" customFormat="1" ht="16" x14ac:dyDescent="0.2">
      <c r="C225" s="105" t="s">
        <v>961</v>
      </c>
    </row>
    <row r="226" spans="1:8" s="92" customFormat="1" ht="16" x14ac:dyDescent="0.2">
      <c r="C226" s="110" t="s">
        <v>966</v>
      </c>
    </row>
    <row r="227" spans="1:8" s="92" customFormat="1" ht="16" x14ac:dyDescent="0.2">
      <c r="C227" s="104">
        <v>0.21</v>
      </c>
      <c r="D227" s="92" t="s">
        <v>87</v>
      </c>
    </row>
    <row r="228" spans="1:8" s="92" customFormat="1" ht="16" x14ac:dyDescent="0.2">
      <c r="C228" s="105">
        <v>4</v>
      </c>
      <c r="D228" s="92" t="s">
        <v>89</v>
      </c>
    </row>
    <row r="229" spans="1:8" s="92" customFormat="1" ht="16" x14ac:dyDescent="0.2">
      <c r="C229" s="114">
        <f>PV(C227,C228,C230,C231,C232)</f>
        <v>-1270.2205233101586</v>
      </c>
      <c r="D229" s="92" t="s">
        <v>281</v>
      </c>
    </row>
    <row r="230" spans="1:8" s="92" customFormat="1" ht="16" x14ac:dyDescent="0.2">
      <c r="C230" s="112">
        <f>B221</f>
        <v>500</v>
      </c>
      <c r="D230" s="92" t="s">
        <v>91</v>
      </c>
    </row>
    <row r="231" spans="1:8" s="92" customFormat="1" ht="16" x14ac:dyDescent="0.2">
      <c r="C231" s="105">
        <v>0</v>
      </c>
      <c r="D231" s="92" t="s">
        <v>105</v>
      </c>
    </row>
    <row r="232" spans="1:8" s="92" customFormat="1" ht="16" x14ac:dyDescent="0.2">
      <c r="C232" s="105">
        <v>0</v>
      </c>
      <c r="D232" s="92" t="s">
        <v>333</v>
      </c>
    </row>
    <row r="233" spans="1:8" s="92" customFormat="1" ht="16" x14ac:dyDescent="0.2"/>
    <row r="234" spans="1:8" s="92" customFormat="1" ht="16" x14ac:dyDescent="0.2">
      <c r="A234" s="94" t="s">
        <v>967</v>
      </c>
      <c r="B234" s="94" t="s">
        <v>968</v>
      </c>
      <c r="C234" s="94"/>
      <c r="D234" s="94"/>
      <c r="E234" s="94"/>
      <c r="F234" s="94"/>
      <c r="G234" s="94"/>
      <c r="H234" s="94"/>
    </row>
    <row r="235" spans="1:8" s="92" customFormat="1" ht="16" x14ac:dyDescent="0.2">
      <c r="A235" s="92" t="s">
        <v>969</v>
      </c>
    </row>
    <row r="236" spans="1:8" s="92" customFormat="1" ht="16" x14ac:dyDescent="0.2">
      <c r="A236" s="92" t="s">
        <v>970</v>
      </c>
    </row>
    <row r="237" spans="1:8" s="92" customFormat="1" ht="16" x14ac:dyDescent="0.2">
      <c r="A237" s="92" t="s">
        <v>971</v>
      </c>
    </row>
    <row r="238" spans="1:8" s="92" customFormat="1" ht="16" x14ac:dyDescent="0.2"/>
    <row r="239" spans="1:8" s="92" customFormat="1" ht="16" x14ac:dyDescent="0.2">
      <c r="A239" s="93" t="s">
        <v>972</v>
      </c>
      <c r="B239" s="93"/>
      <c r="C239" s="93"/>
      <c r="D239" s="93"/>
      <c r="E239" s="93"/>
      <c r="F239" s="93"/>
      <c r="G239" s="93"/>
      <c r="H239" s="93"/>
    </row>
    <row r="240" spans="1:8" s="92" customFormat="1" ht="16" x14ac:dyDescent="0.2"/>
    <row r="241" spans="1:8" s="92" customFormat="1" ht="16" x14ac:dyDescent="0.2">
      <c r="A241" s="92" t="s">
        <v>973</v>
      </c>
    </row>
    <row r="242" spans="1:8" s="92" customFormat="1" ht="16" x14ac:dyDescent="0.2"/>
    <row r="243" spans="1:8" s="92" customFormat="1" ht="16" x14ac:dyDescent="0.2">
      <c r="A243" s="92" t="s">
        <v>974</v>
      </c>
    </row>
    <row r="244" spans="1:8" s="92" customFormat="1" ht="16" x14ac:dyDescent="0.2">
      <c r="A244" s="92" t="s">
        <v>975</v>
      </c>
    </row>
    <row r="245" spans="1:8" s="92" customFormat="1" ht="16" x14ac:dyDescent="0.2">
      <c r="A245" s="92" t="s">
        <v>976</v>
      </c>
    </row>
    <row r="246" spans="1:8" s="92" customFormat="1" ht="16" x14ac:dyDescent="0.2"/>
    <row r="247" spans="1:8" s="92" customFormat="1" ht="16" x14ac:dyDescent="0.2">
      <c r="A247" s="92" t="s">
        <v>977</v>
      </c>
    </row>
    <row r="248" spans="1:8" s="92" customFormat="1" ht="16" x14ac:dyDescent="0.2">
      <c r="A248" s="93" t="s">
        <v>978</v>
      </c>
      <c r="B248" s="93"/>
    </row>
    <row r="249" spans="1:8" s="92" customFormat="1" ht="16" x14ac:dyDescent="0.2">
      <c r="A249" s="93" t="s">
        <v>979</v>
      </c>
      <c r="B249" s="93"/>
    </row>
    <row r="250" spans="1:8" s="92" customFormat="1" ht="16" x14ac:dyDescent="0.2">
      <c r="A250" s="92" t="s">
        <v>980</v>
      </c>
    </row>
    <row r="251" spans="1:8" s="92" customFormat="1" ht="16" x14ac:dyDescent="0.2"/>
    <row r="252" spans="1:8" s="92" customFormat="1" ht="16" x14ac:dyDescent="0.2">
      <c r="A252" s="117" t="s">
        <v>981</v>
      </c>
      <c r="B252" s="117"/>
      <c r="C252" s="117"/>
      <c r="D252" s="117"/>
      <c r="E252" s="117"/>
      <c r="F252" s="117"/>
      <c r="G252" s="117"/>
      <c r="H252" s="117"/>
    </row>
    <row r="253" spans="1:8" s="92" customFormat="1" ht="16" x14ac:dyDescent="0.2">
      <c r="A253" s="117" t="s">
        <v>982</v>
      </c>
      <c r="B253" s="117"/>
      <c r="C253" s="117"/>
      <c r="D253" s="117"/>
      <c r="E253" s="117"/>
      <c r="F253" s="117"/>
      <c r="G253" s="117"/>
      <c r="H253" s="117"/>
    </row>
    <row r="254" spans="1:8" s="92" customFormat="1" ht="16" x14ac:dyDescent="0.2"/>
    <row r="255" spans="1:8" s="92" customFormat="1" ht="16" x14ac:dyDescent="0.2">
      <c r="A255" s="92" t="s">
        <v>983</v>
      </c>
    </row>
    <row r="256" spans="1:8" s="92" customFormat="1" ht="16" x14ac:dyDescent="0.2">
      <c r="A256" s="92" t="s">
        <v>971</v>
      </c>
    </row>
    <row r="257" spans="1:7" s="92" customFormat="1" ht="16" x14ac:dyDescent="0.2"/>
    <row r="258" spans="1:7" s="92" customFormat="1" ht="16" x14ac:dyDescent="0.2">
      <c r="A258" s="93" t="s">
        <v>984</v>
      </c>
      <c r="D258" s="92" t="s">
        <v>985</v>
      </c>
    </row>
    <row r="259" spans="1:7" s="92" customFormat="1" ht="16" x14ac:dyDescent="0.2">
      <c r="F259" s="108">
        <v>5.0000000000000001E-3</v>
      </c>
      <c r="G259" s="92" t="s">
        <v>87</v>
      </c>
    </row>
    <row r="260" spans="1:7" s="92" customFormat="1" ht="16" x14ac:dyDescent="0.2">
      <c r="A260" s="92" t="s">
        <v>986</v>
      </c>
      <c r="F260" s="105">
        <f>18*12</f>
        <v>216</v>
      </c>
      <c r="G260" s="92" t="s">
        <v>89</v>
      </c>
    </row>
    <row r="261" spans="1:7" s="92" customFormat="1" ht="16" x14ac:dyDescent="0.2">
      <c r="F261" s="114">
        <f>PV(F259,F260,F262,F263,F264)</f>
        <v>-1988360.4826842579</v>
      </c>
      <c r="G261" s="92" t="s">
        <v>281</v>
      </c>
    </row>
    <row r="262" spans="1:7" s="92" customFormat="1" ht="16" x14ac:dyDescent="0.2">
      <c r="F262" s="112">
        <v>15000</v>
      </c>
      <c r="G262" s="92" t="s">
        <v>91</v>
      </c>
    </row>
    <row r="263" spans="1:7" s="92" customFormat="1" ht="16" x14ac:dyDescent="0.2">
      <c r="A263" s="92" t="s">
        <v>987</v>
      </c>
      <c r="F263" s="105">
        <v>0</v>
      </c>
      <c r="G263" s="92" t="s">
        <v>105</v>
      </c>
    </row>
    <row r="264" spans="1:7" s="92" customFormat="1" ht="16" x14ac:dyDescent="0.2">
      <c r="A264" s="92" t="s">
        <v>988</v>
      </c>
      <c r="F264" s="105">
        <v>1</v>
      </c>
      <c r="G264" s="92" t="s">
        <v>333</v>
      </c>
    </row>
    <row r="265" spans="1:7" s="92" customFormat="1" ht="16" x14ac:dyDescent="0.2"/>
    <row r="266" spans="1:7" s="92" customFormat="1" ht="16" x14ac:dyDescent="0.2">
      <c r="A266" s="92" t="s">
        <v>989</v>
      </c>
    </row>
    <row r="267" spans="1:7" s="92" customFormat="1" ht="16" x14ac:dyDescent="0.2">
      <c r="A267" s="92" t="s">
        <v>990</v>
      </c>
    </row>
    <row r="268" spans="1:7" s="92" customFormat="1" ht="16" x14ac:dyDescent="0.2"/>
    <row r="269" spans="1:7" s="92" customFormat="1" ht="16" x14ac:dyDescent="0.2">
      <c r="A269" s="93" t="s">
        <v>991</v>
      </c>
      <c r="D269" s="92" t="s">
        <v>992</v>
      </c>
    </row>
    <row r="270" spans="1:7" s="92" customFormat="1" ht="16" x14ac:dyDescent="0.2">
      <c r="A270" s="93"/>
      <c r="F270" s="108">
        <v>5.0000000000000001E-3</v>
      </c>
      <c r="G270" s="92" t="s">
        <v>87</v>
      </c>
    </row>
    <row r="271" spans="1:7" s="92" customFormat="1" ht="16" x14ac:dyDescent="0.2">
      <c r="A271" s="92" t="s">
        <v>993</v>
      </c>
      <c r="F271" s="105">
        <f>42*12</f>
        <v>504</v>
      </c>
      <c r="G271" s="92" t="s">
        <v>89</v>
      </c>
    </row>
    <row r="272" spans="1:7" s="92" customFormat="1" ht="16" x14ac:dyDescent="0.2">
      <c r="A272" s="93"/>
      <c r="D272" s="92" t="s">
        <v>994</v>
      </c>
      <c r="F272" s="105">
        <v>0</v>
      </c>
      <c r="G272" s="92" t="s">
        <v>281</v>
      </c>
    </row>
    <row r="273" spans="1:8" s="92" customFormat="1" ht="16" x14ac:dyDescent="0.2">
      <c r="A273" s="93"/>
      <c r="D273" s="92" t="s">
        <v>995</v>
      </c>
      <c r="F273" s="118">
        <f>PMT(F270,F271,F272,F274,F275)</f>
        <v>-875.8679135166667</v>
      </c>
      <c r="G273" s="92" t="s">
        <v>91</v>
      </c>
    </row>
    <row r="274" spans="1:8" s="92" customFormat="1" ht="16" x14ac:dyDescent="0.2">
      <c r="D274" s="92" t="s">
        <v>996</v>
      </c>
      <c r="F274" s="114">
        <f>-F261</f>
        <v>1988360.4826842579</v>
      </c>
      <c r="G274" s="92" t="s">
        <v>105</v>
      </c>
    </row>
    <row r="275" spans="1:8" s="92" customFormat="1" ht="16" x14ac:dyDescent="0.2">
      <c r="D275" s="92" t="s">
        <v>997</v>
      </c>
      <c r="F275" s="105">
        <v>0</v>
      </c>
      <c r="G275" s="92" t="s">
        <v>333</v>
      </c>
    </row>
    <row r="276" spans="1:8" s="92" customFormat="1" ht="16" x14ac:dyDescent="0.2"/>
    <row r="277" spans="1:8" s="92" customFormat="1" ht="16" x14ac:dyDescent="0.2">
      <c r="A277" s="93" t="s">
        <v>998</v>
      </c>
    </row>
    <row r="278" spans="1:8" s="92" customFormat="1" ht="16" x14ac:dyDescent="0.2"/>
    <row r="279" spans="1:8" s="92" customFormat="1" ht="16" x14ac:dyDescent="0.2">
      <c r="A279" s="94" t="s">
        <v>999</v>
      </c>
      <c r="B279" s="94" t="s">
        <v>840</v>
      </c>
      <c r="C279" s="94"/>
      <c r="D279" s="94"/>
      <c r="E279" s="94"/>
      <c r="F279" s="94"/>
      <c r="G279" s="94"/>
      <c r="H279" s="94"/>
    </row>
    <row r="280" spans="1:8" s="92" customFormat="1" ht="16" x14ac:dyDescent="0.2">
      <c r="A280" s="92" t="s">
        <v>1000</v>
      </c>
    </row>
    <row r="281" spans="1:8" s="92" customFormat="1" ht="16" x14ac:dyDescent="0.2">
      <c r="A281" s="92" t="s">
        <v>1001</v>
      </c>
    </row>
    <row r="282" spans="1:8" s="92" customFormat="1" ht="16" x14ac:dyDescent="0.2"/>
    <row r="283" spans="1:8" s="92" customFormat="1" ht="16" x14ac:dyDescent="0.2">
      <c r="A283" s="92" t="s">
        <v>1002</v>
      </c>
    </row>
    <row r="284" spans="1:8" s="92" customFormat="1" ht="16" x14ac:dyDescent="0.2"/>
    <row r="285" spans="1:8" s="92" customFormat="1" ht="16" x14ac:dyDescent="0.2">
      <c r="A285" s="92" t="s">
        <v>326</v>
      </c>
    </row>
    <row r="286" spans="1:8" s="92" customFormat="1" ht="16" x14ac:dyDescent="0.2">
      <c r="A286" s="92" t="s">
        <v>1003</v>
      </c>
    </row>
    <row r="287" spans="1:8" s="92" customFormat="1" ht="16" x14ac:dyDescent="0.2">
      <c r="A287" s="92" t="s">
        <v>1004</v>
      </c>
    </row>
    <row r="288" spans="1:8" s="92" customFormat="1" ht="16" x14ac:dyDescent="0.2">
      <c r="A288" s="92" t="s">
        <v>1005</v>
      </c>
    </row>
    <row r="289" spans="1:7" s="92" customFormat="1" ht="16" x14ac:dyDescent="0.2"/>
    <row r="290" spans="1:7" s="92" customFormat="1" ht="16" x14ac:dyDescent="0.2">
      <c r="A290" s="93" t="s">
        <v>1006</v>
      </c>
    </row>
    <row r="291" spans="1:7" s="92" customFormat="1" ht="16" x14ac:dyDescent="0.2">
      <c r="B291" s="111" t="s">
        <v>1007</v>
      </c>
      <c r="C291" s="111"/>
      <c r="F291" s="111" t="s">
        <v>1008</v>
      </c>
      <c r="G291" s="111"/>
    </row>
    <row r="292" spans="1:7" s="92" customFormat="1" ht="16" x14ac:dyDescent="0.2">
      <c r="B292" s="108">
        <v>0.08</v>
      </c>
      <c r="C292" s="92" t="s">
        <v>87</v>
      </c>
      <c r="F292" s="109">
        <v>700000</v>
      </c>
      <c r="G292" s="92" t="s">
        <v>698</v>
      </c>
    </row>
    <row r="293" spans="1:7" s="92" customFormat="1" ht="16" x14ac:dyDescent="0.2">
      <c r="B293" s="105">
        <v>10</v>
      </c>
      <c r="C293" s="92" t="s">
        <v>89</v>
      </c>
    </row>
    <row r="294" spans="1:7" s="92" customFormat="1" ht="16" x14ac:dyDescent="0.2">
      <c r="B294" s="114">
        <f>PV(B292,B293,B295,B296,B297)</f>
        <v>-671008.13989414473</v>
      </c>
      <c r="C294" s="92" t="s">
        <v>281</v>
      </c>
      <c r="F294" s="92" t="s">
        <v>1009</v>
      </c>
    </row>
    <row r="295" spans="1:7" s="92" customFormat="1" ht="16" x14ac:dyDescent="0.2">
      <c r="B295" s="112">
        <v>100000</v>
      </c>
      <c r="C295" s="92" t="s">
        <v>91</v>
      </c>
      <c r="F295" s="92" t="s">
        <v>1010</v>
      </c>
    </row>
    <row r="296" spans="1:7" s="92" customFormat="1" ht="16" x14ac:dyDescent="0.2">
      <c r="B296" s="105">
        <v>0</v>
      </c>
      <c r="C296" s="92" t="s">
        <v>105</v>
      </c>
      <c r="F296" s="92" t="s">
        <v>1011</v>
      </c>
    </row>
    <row r="297" spans="1:7" s="92" customFormat="1" ht="16" x14ac:dyDescent="0.2">
      <c r="B297" s="105">
        <v>0</v>
      </c>
      <c r="C297" s="92" t="s">
        <v>333</v>
      </c>
    </row>
    <row r="298" spans="1:7" s="92" customFormat="1" ht="16" x14ac:dyDescent="0.2"/>
    <row r="299" spans="1:7" s="92" customFormat="1" ht="16" x14ac:dyDescent="0.2">
      <c r="A299" s="93" t="s">
        <v>1012</v>
      </c>
    </row>
    <row r="300" spans="1:7" s="92" customFormat="1" ht="16" x14ac:dyDescent="0.2">
      <c r="A300" s="93"/>
      <c r="B300" s="111" t="s">
        <v>1013</v>
      </c>
      <c r="C300" s="111"/>
    </row>
    <row r="301" spans="1:7" s="92" customFormat="1" ht="16" x14ac:dyDescent="0.2">
      <c r="A301" s="93"/>
      <c r="B301" s="108">
        <v>0.08</v>
      </c>
      <c r="C301" s="92" t="s">
        <v>87</v>
      </c>
    </row>
    <row r="302" spans="1:7" s="92" customFormat="1" ht="16" x14ac:dyDescent="0.2">
      <c r="A302" s="93"/>
      <c r="B302" s="105">
        <v>10</v>
      </c>
      <c r="C302" s="92" t="s">
        <v>89</v>
      </c>
    </row>
    <row r="303" spans="1:7" s="92" customFormat="1" ht="16" x14ac:dyDescent="0.2">
      <c r="A303" s="93"/>
      <c r="B303" s="112">
        <f>F292</f>
        <v>700000</v>
      </c>
      <c r="C303" s="92" t="s">
        <v>281</v>
      </c>
    </row>
    <row r="304" spans="1:7" s="92" customFormat="1" ht="16" x14ac:dyDescent="0.2">
      <c r="A304" s="93"/>
      <c r="B304" s="118">
        <f>PMT(B301,B302,B303,B305,B306)</f>
        <v>-104320.6420879528</v>
      </c>
      <c r="C304" s="92" t="s">
        <v>91</v>
      </c>
      <c r="D304" s="92" t="s">
        <v>1014</v>
      </c>
    </row>
    <row r="305" spans="1:5" s="92" customFormat="1" ht="16" x14ac:dyDescent="0.2">
      <c r="B305" s="105">
        <v>0</v>
      </c>
      <c r="C305" s="92" t="s">
        <v>105</v>
      </c>
    </row>
    <row r="306" spans="1:5" s="92" customFormat="1" ht="16" x14ac:dyDescent="0.2">
      <c r="B306" s="105">
        <v>0</v>
      </c>
      <c r="C306" s="92" t="s">
        <v>333</v>
      </c>
    </row>
    <row r="307" spans="1:5" s="92" customFormat="1" ht="16" x14ac:dyDescent="0.2"/>
    <row r="308" spans="1:5" s="92" customFormat="1" ht="16" x14ac:dyDescent="0.2">
      <c r="A308" s="93" t="s">
        <v>1015</v>
      </c>
    </row>
    <row r="309" spans="1:5" s="92" customFormat="1" ht="16" x14ac:dyDescent="0.2">
      <c r="C309" s="110" t="s">
        <v>153</v>
      </c>
      <c r="D309" s="110" t="s">
        <v>1016</v>
      </c>
      <c r="E309" s="110" t="s">
        <v>1017</v>
      </c>
    </row>
    <row r="310" spans="1:5" s="92" customFormat="1" ht="16" x14ac:dyDescent="0.2">
      <c r="B310" s="92">
        <v>0</v>
      </c>
      <c r="C310" s="112">
        <v>700000</v>
      </c>
      <c r="D310" s="105"/>
      <c r="E310" s="105"/>
    </row>
    <row r="311" spans="1:5" s="92" customFormat="1" ht="16" x14ac:dyDescent="0.2">
      <c r="B311" s="92">
        <v>1</v>
      </c>
      <c r="C311" s="112">
        <f>C310*(1+8%)</f>
        <v>756000</v>
      </c>
      <c r="D311" s="112">
        <f>B304</f>
        <v>-104320.6420879528</v>
      </c>
      <c r="E311" s="112">
        <f t="shared" ref="E311:E320" si="1">C311+D311</f>
        <v>651679.35791204718</v>
      </c>
    </row>
    <row r="312" spans="1:5" s="92" customFormat="1" ht="16" x14ac:dyDescent="0.2">
      <c r="B312" s="92">
        <f t="shared" ref="B312:B320" si="2">B311+1</f>
        <v>2</v>
      </c>
      <c r="C312" s="112">
        <f t="shared" ref="C312:C320" si="3">E311*1.08</f>
        <v>703813.70654501102</v>
      </c>
      <c r="D312" s="112">
        <f t="shared" ref="D312:D320" si="4">D311</f>
        <v>-104320.6420879528</v>
      </c>
      <c r="E312" s="112">
        <f t="shared" si="1"/>
        <v>599493.06445705821</v>
      </c>
    </row>
    <row r="313" spans="1:5" s="92" customFormat="1" ht="16" x14ac:dyDescent="0.2">
      <c r="B313" s="92">
        <f t="shared" si="2"/>
        <v>3</v>
      </c>
      <c r="C313" s="112">
        <f t="shared" si="3"/>
        <v>647452.50961362291</v>
      </c>
      <c r="D313" s="112">
        <f t="shared" si="4"/>
        <v>-104320.6420879528</v>
      </c>
      <c r="E313" s="112">
        <f t="shared" si="1"/>
        <v>543131.8675256701</v>
      </c>
    </row>
    <row r="314" spans="1:5" s="92" customFormat="1" ht="16" x14ac:dyDescent="0.2">
      <c r="B314" s="92">
        <f t="shared" si="2"/>
        <v>4</v>
      </c>
      <c r="C314" s="112">
        <f t="shared" si="3"/>
        <v>586582.4169277238</v>
      </c>
      <c r="D314" s="112">
        <f t="shared" si="4"/>
        <v>-104320.6420879528</v>
      </c>
      <c r="E314" s="112">
        <f t="shared" si="1"/>
        <v>482261.77483977098</v>
      </c>
    </row>
    <row r="315" spans="1:5" s="92" customFormat="1" ht="16" x14ac:dyDescent="0.2">
      <c r="B315" s="92">
        <f t="shared" si="2"/>
        <v>5</v>
      </c>
      <c r="C315" s="112">
        <f t="shared" si="3"/>
        <v>520842.7168269527</v>
      </c>
      <c r="D315" s="112">
        <f t="shared" si="4"/>
        <v>-104320.6420879528</v>
      </c>
      <c r="E315" s="112">
        <f t="shared" si="1"/>
        <v>416522.07473899989</v>
      </c>
    </row>
    <row r="316" spans="1:5" s="92" customFormat="1" ht="16" x14ac:dyDescent="0.2">
      <c r="B316" s="92">
        <f t="shared" si="2"/>
        <v>6</v>
      </c>
      <c r="C316" s="112">
        <f t="shared" si="3"/>
        <v>449843.84071811993</v>
      </c>
      <c r="D316" s="112">
        <f t="shared" si="4"/>
        <v>-104320.6420879528</v>
      </c>
      <c r="E316" s="112">
        <f t="shared" si="1"/>
        <v>345523.19863016711</v>
      </c>
    </row>
    <row r="317" spans="1:5" s="92" customFormat="1" ht="16" x14ac:dyDescent="0.2">
      <c r="B317" s="92">
        <f t="shared" si="2"/>
        <v>7</v>
      </c>
      <c r="C317" s="112">
        <f t="shared" si="3"/>
        <v>373165.05452058051</v>
      </c>
      <c r="D317" s="112">
        <f t="shared" si="4"/>
        <v>-104320.6420879528</v>
      </c>
      <c r="E317" s="112">
        <f t="shared" si="1"/>
        <v>268844.41243262769</v>
      </c>
    </row>
    <row r="318" spans="1:5" s="92" customFormat="1" ht="16" x14ac:dyDescent="0.2">
      <c r="B318" s="92">
        <f t="shared" si="2"/>
        <v>8</v>
      </c>
      <c r="C318" s="112">
        <f t="shared" si="3"/>
        <v>290351.96542723791</v>
      </c>
      <c r="D318" s="112">
        <f t="shared" si="4"/>
        <v>-104320.6420879528</v>
      </c>
      <c r="E318" s="112">
        <f t="shared" si="1"/>
        <v>186031.3233392851</v>
      </c>
    </row>
    <row r="319" spans="1:5" s="92" customFormat="1" ht="16" x14ac:dyDescent="0.2">
      <c r="B319" s="92">
        <f t="shared" si="2"/>
        <v>9</v>
      </c>
      <c r="C319" s="112">
        <f t="shared" si="3"/>
        <v>200913.82920642791</v>
      </c>
      <c r="D319" s="112">
        <f t="shared" si="4"/>
        <v>-104320.6420879528</v>
      </c>
      <c r="E319" s="112">
        <f t="shared" si="1"/>
        <v>96593.187118475107</v>
      </c>
    </row>
    <row r="320" spans="1:5" s="92" customFormat="1" ht="16" x14ac:dyDescent="0.2">
      <c r="B320" s="92">
        <f t="shared" si="2"/>
        <v>10</v>
      </c>
      <c r="C320" s="112">
        <f t="shared" si="3"/>
        <v>104320.64208795312</v>
      </c>
      <c r="D320" s="112">
        <f t="shared" si="4"/>
        <v>-104320.6420879528</v>
      </c>
      <c r="E320" s="112">
        <f t="shared" si="1"/>
        <v>3.2014213502407074E-10</v>
      </c>
    </row>
    <row r="321" spans="1:8" s="92" customFormat="1" ht="16" x14ac:dyDescent="0.2"/>
    <row r="322" spans="1:8" s="92" customFormat="1" ht="16" x14ac:dyDescent="0.2"/>
    <row r="323" spans="1:8" s="92" customFormat="1" ht="16" x14ac:dyDescent="0.2">
      <c r="A323" s="94" t="s">
        <v>389</v>
      </c>
      <c r="B323" s="94" t="s">
        <v>1018</v>
      </c>
      <c r="C323" s="94"/>
      <c r="D323" s="94"/>
      <c r="E323" s="94"/>
      <c r="F323" s="94"/>
      <c r="G323" s="94"/>
      <c r="H323" s="94"/>
    </row>
    <row r="324" spans="1:8" s="92" customFormat="1" ht="16" x14ac:dyDescent="0.2">
      <c r="A324" s="92" t="s">
        <v>1019</v>
      </c>
    </row>
    <row r="325" spans="1:8" s="92" customFormat="1" ht="16" x14ac:dyDescent="0.2">
      <c r="A325" s="92" t="s">
        <v>1020</v>
      </c>
    </row>
    <row r="326" spans="1:8" s="92" customFormat="1" ht="16" x14ac:dyDescent="0.2">
      <c r="A326" s="92" t="s">
        <v>1021</v>
      </c>
    </row>
    <row r="327" spans="1:8" s="92" customFormat="1" ht="16" x14ac:dyDescent="0.2"/>
    <row r="328" spans="1:8" s="92" customFormat="1" ht="16" x14ac:dyDescent="0.2">
      <c r="A328" s="93" t="s">
        <v>836</v>
      </c>
    </row>
    <row r="329" spans="1:8" s="92" customFormat="1" ht="16" x14ac:dyDescent="0.2"/>
    <row r="330" spans="1:8" s="92" customFormat="1" ht="16" x14ac:dyDescent="0.2">
      <c r="B330" s="111" t="s">
        <v>1022</v>
      </c>
      <c r="C330" s="111"/>
    </row>
    <row r="331" spans="1:8" s="92" customFormat="1" ht="16" x14ac:dyDescent="0.2">
      <c r="B331" s="108">
        <v>1.4999999999999999E-2</v>
      </c>
      <c r="C331" s="92" t="s">
        <v>87</v>
      </c>
    </row>
    <row r="332" spans="1:8" s="92" customFormat="1" ht="16" x14ac:dyDescent="0.2">
      <c r="B332" s="105">
        <f>20*12</f>
        <v>240</v>
      </c>
      <c r="C332" s="92" t="s">
        <v>89</v>
      </c>
    </row>
    <row r="333" spans="1:8" s="92" customFormat="1" ht="16" x14ac:dyDescent="0.2">
      <c r="B333" s="112">
        <f>250000</f>
        <v>250000</v>
      </c>
      <c r="C333" s="92" t="s">
        <v>281</v>
      </c>
    </row>
    <row r="334" spans="1:8" s="92" customFormat="1" ht="16" x14ac:dyDescent="0.2">
      <c r="B334" s="118">
        <f>PMT(B331,B332,B333,B335,B336)</f>
        <v>-3858.2788084079039</v>
      </c>
      <c r="C334" s="92" t="s">
        <v>91</v>
      </c>
      <c r="D334" s="92" t="s">
        <v>1014</v>
      </c>
    </row>
    <row r="335" spans="1:8" s="92" customFormat="1" ht="16" x14ac:dyDescent="0.2">
      <c r="B335" s="105">
        <v>0</v>
      </c>
      <c r="C335" s="92" t="s">
        <v>105</v>
      </c>
    </row>
    <row r="336" spans="1:8" s="92" customFormat="1" ht="16" x14ac:dyDescent="0.2">
      <c r="B336" s="105">
        <v>0</v>
      </c>
      <c r="C336" s="92" t="s">
        <v>333</v>
      </c>
    </row>
    <row r="337" spans="1:8" s="92" customFormat="1" ht="16" x14ac:dyDescent="0.2"/>
    <row r="338" spans="1:8" s="92" customFormat="1" ht="16" x14ac:dyDescent="0.2"/>
    <row r="339" spans="1:8" s="92" customFormat="1" ht="16" x14ac:dyDescent="0.2"/>
    <row r="340" spans="1:8" s="92" customFormat="1" ht="16" x14ac:dyDescent="0.2">
      <c r="A340" s="94" t="s">
        <v>396</v>
      </c>
      <c r="B340" s="94" t="s">
        <v>968</v>
      </c>
      <c r="C340" s="94"/>
      <c r="D340" s="94"/>
      <c r="E340" s="94"/>
      <c r="F340" s="94"/>
      <c r="G340" s="94"/>
      <c r="H340" s="94"/>
    </row>
    <row r="341" spans="1:8" s="92" customFormat="1" ht="16" x14ac:dyDescent="0.2">
      <c r="A341" s="92" t="s">
        <v>1023</v>
      </c>
    </row>
    <row r="342" spans="1:8" s="92" customFormat="1" ht="16" x14ac:dyDescent="0.2">
      <c r="A342" s="92" t="s">
        <v>1024</v>
      </c>
    </row>
    <row r="343" spans="1:8" s="92" customFormat="1" ht="16" x14ac:dyDescent="0.2">
      <c r="A343" s="92" t="s">
        <v>1025</v>
      </c>
    </row>
    <row r="344" spans="1:8" s="92" customFormat="1" ht="16" x14ac:dyDescent="0.2">
      <c r="A344" s="92" t="s">
        <v>1026</v>
      </c>
    </row>
    <row r="345" spans="1:8" s="92" customFormat="1" ht="16" x14ac:dyDescent="0.2">
      <c r="A345" s="92" t="s">
        <v>1027</v>
      </c>
    </row>
    <row r="346" spans="1:8" s="92" customFormat="1" ht="16" x14ac:dyDescent="0.2">
      <c r="A346" s="92" t="s">
        <v>1028</v>
      </c>
    </row>
    <row r="347" spans="1:8" s="92" customFormat="1" ht="16" x14ac:dyDescent="0.2">
      <c r="A347" s="92" t="s">
        <v>1029</v>
      </c>
    </row>
    <row r="348" spans="1:8" s="92" customFormat="1" ht="16" x14ac:dyDescent="0.2"/>
    <row r="349" spans="1:8" s="92" customFormat="1" ht="16" x14ac:dyDescent="0.2">
      <c r="A349" s="92" t="s">
        <v>1030</v>
      </c>
    </row>
    <row r="350" spans="1:8" s="92" customFormat="1" ht="16" x14ac:dyDescent="0.2">
      <c r="A350" s="92" t="s">
        <v>1031</v>
      </c>
    </row>
    <row r="351" spans="1:8" s="92" customFormat="1" ht="16" x14ac:dyDescent="0.2">
      <c r="A351" s="92" t="s">
        <v>1032</v>
      </c>
    </row>
    <row r="352" spans="1:8" s="92" customFormat="1" ht="16" x14ac:dyDescent="0.2">
      <c r="A352" s="92" t="s">
        <v>1033</v>
      </c>
    </row>
    <row r="353" spans="1:8" s="92" customFormat="1" ht="16" x14ac:dyDescent="0.2">
      <c r="C353" s="121" t="s">
        <v>1034</v>
      </c>
      <c r="D353" s="120" t="s">
        <v>1035</v>
      </c>
      <c r="E353" s="119" t="s">
        <v>1036</v>
      </c>
    </row>
    <row r="354" spans="1:8" s="92" customFormat="1" ht="16" x14ac:dyDescent="0.2">
      <c r="C354" s="110" t="s">
        <v>1037</v>
      </c>
      <c r="D354" s="110" t="s">
        <v>796</v>
      </c>
      <c r="E354" s="110" t="s">
        <v>797</v>
      </c>
    </row>
    <row r="355" spans="1:8" s="92" customFormat="1" ht="16" x14ac:dyDescent="0.2">
      <c r="C355" s="122">
        <v>1.4999999999999999E-2</v>
      </c>
      <c r="D355" s="122">
        <v>1.4999999999999999E-2</v>
      </c>
      <c r="E355" s="122">
        <v>2.1999999999999999E-2</v>
      </c>
      <c r="F355" s="92" t="s">
        <v>87</v>
      </c>
    </row>
    <row r="356" spans="1:8" s="92" customFormat="1" ht="16" x14ac:dyDescent="0.2">
      <c r="C356" s="105">
        <v>6</v>
      </c>
      <c r="D356" s="105">
        <v>6</v>
      </c>
      <c r="E356" s="105">
        <v>6</v>
      </c>
      <c r="F356" s="92" t="s">
        <v>89</v>
      </c>
    </row>
    <row r="357" spans="1:8" s="92" customFormat="1" ht="18" x14ac:dyDescent="0.2">
      <c r="A357" s="92" t="s">
        <v>1038</v>
      </c>
      <c r="C357" s="123">
        <f>PV(C355,C356,C358,C359,C360)</f>
        <v>-126774.49622626232</v>
      </c>
      <c r="D357" s="116">
        <f>PV(D355,D356,D358,D359,D360)</f>
        <v>-76325.209643234994</v>
      </c>
      <c r="E357" s="114">
        <f>PV(E355,E356,E358,E359,E360)</f>
        <v>-83457.286353405114</v>
      </c>
      <c r="F357" s="92" t="s">
        <v>281</v>
      </c>
    </row>
    <row r="358" spans="1:8" s="92" customFormat="1" ht="16" x14ac:dyDescent="0.2">
      <c r="C358" s="105">
        <v>10000</v>
      </c>
      <c r="D358" s="105">
        <v>0</v>
      </c>
      <c r="E358" s="105">
        <v>15000</v>
      </c>
      <c r="F358" s="92" t="s">
        <v>91</v>
      </c>
    </row>
    <row r="359" spans="1:8" s="92" customFormat="1" ht="16" x14ac:dyDescent="0.2">
      <c r="C359" s="116">
        <f>-D357</f>
        <v>76325.209643234994</v>
      </c>
      <c r="D359" s="114">
        <f>-E357</f>
        <v>83457.286353405114</v>
      </c>
      <c r="E359" s="105">
        <v>0</v>
      </c>
      <c r="F359" s="92" t="s">
        <v>105</v>
      </c>
    </row>
    <row r="360" spans="1:8" s="92" customFormat="1" ht="16" x14ac:dyDescent="0.2"/>
    <row r="361" spans="1:8" s="92" customFormat="1" ht="16" x14ac:dyDescent="0.2"/>
    <row r="362" spans="1:8" s="92" customFormat="1" ht="16" x14ac:dyDescent="0.2"/>
    <row r="363" spans="1:8" s="92" customFormat="1" ht="16" x14ac:dyDescent="0.2">
      <c r="A363" s="94" t="s">
        <v>401</v>
      </c>
      <c r="B363" s="94" t="s">
        <v>1039</v>
      </c>
      <c r="C363" s="94"/>
      <c r="D363" s="94"/>
      <c r="E363" s="94"/>
      <c r="F363" s="94"/>
      <c r="G363" s="94"/>
      <c r="H363" s="94"/>
    </row>
    <row r="364" spans="1:8" s="92" customFormat="1" ht="16" x14ac:dyDescent="0.2">
      <c r="A364" s="92" t="s">
        <v>1040</v>
      </c>
    </row>
    <row r="365" spans="1:8" s="92" customFormat="1" ht="16" x14ac:dyDescent="0.2">
      <c r="A365" s="92" t="s">
        <v>1041</v>
      </c>
    </row>
    <row r="366" spans="1:8" s="92" customFormat="1" ht="16" x14ac:dyDescent="0.2">
      <c r="A366" s="92" t="s">
        <v>1042</v>
      </c>
    </row>
    <row r="367" spans="1:8" s="92" customFormat="1" ht="17" thickBot="1" x14ac:dyDescent="0.25"/>
    <row r="368" spans="1:8" s="92" customFormat="1" ht="17" thickBot="1" x14ac:dyDescent="0.25">
      <c r="A368" s="124" t="s">
        <v>1043</v>
      </c>
      <c r="B368" s="125"/>
      <c r="C368" s="125"/>
      <c r="D368" s="125"/>
      <c r="E368" s="125"/>
      <c r="F368" s="125"/>
      <c r="G368" s="125"/>
      <c r="H368" s="126"/>
    </row>
    <row r="369" spans="1:1" s="92" customFormat="1" ht="16" x14ac:dyDescent="0.2">
      <c r="A369" s="92" t="s">
        <v>1044</v>
      </c>
    </row>
    <row r="370" spans="1:1" s="92" customFormat="1" ht="16" x14ac:dyDescent="0.2">
      <c r="A370" s="92" t="s">
        <v>1045</v>
      </c>
    </row>
    <row r="371" spans="1:1" s="92" customFormat="1" ht="16" x14ac:dyDescent="0.2"/>
    <row r="372" spans="1:1" s="92" customFormat="1" ht="16" x14ac:dyDescent="0.2">
      <c r="A372" s="92" t="s">
        <v>1046</v>
      </c>
    </row>
    <row r="373" spans="1:1" s="92" customFormat="1" ht="16" x14ac:dyDescent="0.2">
      <c r="A373" s="92" t="s">
        <v>1047</v>
      </c>
    </row>
    <row r="374" spans="1:1" s="92" customFormat="1" ht="16" x14ac:dyDescent="0.2"/>
    <row r="375" spans="1:1" s="92" customFormat="1" ht="16" x14ac:dyDescent="0.2">
      <c r="A375" s="92" t="s">
        <v>1048</v>
      </c>
    </row>
    <row r="376" spans="1:1" s="92" customFormat="1" ht="16" x14ac:dyDescent="0.2">
      <c r="A376" s="92" t="s">
        <v>1049</v>
      </c>
    </row>
    <row r="377" spans="1:1" s="92" customFormat="1" ht="16" x14ac:dyDescent="0.2">
      <c r="A377" s="92" t="s">
        <v>1050</v>
      </c>
    </row>
    <row r="378" spans="1:1" s="92" customFormat="1" ht="16" x14ac:dyDescent="0.2">
      <c r="A378" s="92" t="s">
        <v>1051</v>
      </c>
    </row>
    <row r="379" spans="1:1" s="92" customFormat="1" ht="16" x14ac:dyDescent="0.2"/>
    <row r="380" spans="1:1" s="92" customFormat="1" ht="16" x14ac:dyDescent="0.2">
      <c r="A380" s="92" t="s">
        <v>1052</v>
      </c>
    </row>
    <row r="381" spans="1:1" s="92" customFormat="1" ht="16" x14ac:dyDescent="0.2">
      <c r="A381" s="92" t="s">
        <v>1053</v>
      </c>
    </row>
    <row r="382" spans="1:1" s="92" customFormat="1" ht="16" x14ac:dyDescent="0.2">
      <c r="A382" s="92" t="s">
        <v>1054</v>
      </c>
    </row>
    <row r="383" spans="1:1" s="92" customFormat="1" ht="16" x14ac:dyDescent="0.2"/>
    <row r="384" spans="1:1" s="92" customFormat="1" ht="16" x14ac:dyDescent="0.2">
      <c r="A384" s="92" t="s">
        <v>1055</v>
      </c>
    </row>
    <row r="385" spans="1:5" s="92" customFormat="1" ht="16" x14ac:dyDescent="0.2">
      <c r="A385" s="92" t="s">
        <v>1056</v>
      </c>
    </row>
    <row r="386" spans="1:5" s="92" customFormat="1" ht="16" x14ac:dyDescent="0.2"/>
    <row r="387" spans="1:5" s="92" customFormat="1" ht="16" x14ac:dyDescent="0.2"/>
    <row r="388" spans="1:5" s="92" customFormat="1" ht="16" x14ac:dyDescent="0.2">
      <c r="D388" s="110" t="s">
        <v>1057</v>
      </c>
    </row>
    <row r="389" spans="1:5" s="92" customFormat="1" ht="16" x14ac:dyDescent="0.2">
      <c r="D389" s="122">
        <v>2.01E-2</v>
      </c>
      <c r="E389" s="92" t="s">
        <v>87</v>
      </c>
    </row>
    <row r="390" spans="1:5" s="92" customFormat="1" ht="16" x14ac:dyDescent="0.2">
      <c r="D390" s="105">
        <v>6</v>
      </c>
      <c r="E390" s="92" t="s">
        <v>89</v>
      </c>
    </row>
    <row r="391" spans="1:5" s="92" customFormat="1" ht="16" x14ac:dyDescent="0.2">
      <c r="A391" s="92" t="s">
        <v>1058</v>
      </c>
      <c r="D391" s="114">
        <f>PV(D389,D390,D392,D393,C394)</f>
        <v>-2799.7705157921973</v>
      </c>
      <c r="E391" s="92" t="s">
        <v>281</v>
      </c>
    </row>
    <row r="392" spans="1:5" s="92" customFormat="1" ht="16" x14ac:dyDescent="0.2">
      <c r="D392" s="105">
        <v>500</v>
      </c>
      <c r="E392" s="92" t="s">
        <v>91</v>
      </c>
    </row>
    <row r="393" spans="1:5" s="92" customFormat="1" ht="16" x14ac:dyDescent="0.2">
      <c r="D393" s="105">
        <v>0</v>
      </c>
      <c r="E393" s="92" t="s">
        <v>105</v>
      </c>
    </row>
    <row r="394" spans="1:5" s="92" customFormat="1" ht="16" x14ac:dyDescent="0.2"/>
    <row r="395" spans="1:5" s="92" customFormat="1" ht="16" x14ac:dyDescent="0.2">
      <c r="A395" s="92" t="s">
        <v>1059</v>
      </c>
      <c r="D395" s="127">
        <f>-D391*1.01</f>
        <v>2827.7682209501195</v>
      </c>
    </row>
    <row r="396" spans="1:5" s="92" customFormat="1" ht="16" x14ac:dyDescent="0.2"/>
    <row r="397" spans="1:5" s="92" customFormat="1" ht="16" x14ac:dyDescent="0.2">
      <c r="A397" s="92" t="s">
        <v>1060</v>
      </c>
    </row>
    <row r="398" spans="1:5" s="92" customFormat="1" ht="16" x14ac:dyDescent="0.2">
      <c r="E398" s="92" t="s">
        <v>1061</v>
      </c>
    </row>
    <row r="399" spans="1:5" s="92" customFormat="1" ht="16" x14ac:dyDescent="0.2"/>
    <row r="400" spans="1:5" s="92" customFormat="1" ht="16" x14ac:dyDescent="0.2">
      <c r="D400" s="110" t="s">
        <v>893</v>
      </c>
    </row>
    <row r="401" spans="1:8" s="92" customFormat="1" ht="16" x14ac:dyDescent="0.2">
      <c r="D401" s="122">
        <v>2.01E-2</v>
      </c>
      <c r="E401" s="92" t="s">
        <v>87</v>
      </c>
    </row>
    <row r="402" spans="1:8" s="92" customFormat="1" ht="16" x14ac:dyDescent="0.2">
      <c r="D402" s="105">
        <v>6</v>
      </c>
      <c r="E402" s="92" t="s">
        <v>89</v>
      </c>
    </row>
    <row r="403" spans="1:8" s="92" customFormat="1" ht="16" x14ac:dyDescent="0.2">
      <c r="A403" s="92" t="s">
        <v>1062</v>
      </c>
      <c r="D403" s="114">
        <f>PV(D401,D402,D404,D405,C406)</f>
        <v>-2827.7682209501195</v>
      </c>
      <c r="E403" s="92" t="s">
        <v>281</v>
      </c>
    </row>
    <row r="404" spans="1:8" s="92" customFormat="1" ht="16" x14ac:dyDescent="0.2">
      <c r="D404" s="105">
        <v>505</v>
      </c>
      <c r="E404" s="92" t="s">
        <v>91</v>
      </c>
    </row>
    <row r="405" spans="1:8" s="92" customFormat="1" ht="16" x14ac:dyDescent="0.2">
      <c r="D405" s="105">
        <v>0</v>
      </c>
      <c r="E405" s="92" t="s">
        <v>105</v>
      </c>
    </row>
    <row r="406" spans="1:8" s="92" customFormat="1" ht="16" x14ac:dyDescent="0.2"/>
    <row r="407" spans="1:8" s="92" customFormat="1" ht="16" x14ac:dyDescent="0.2">
      <c r="A407" s="92" t="s">
        <v>1063</v>
      </c>
    </row>
    <row r="408" spans="1:8" s="92" customFormat="1" ht="16" x14ac:dyDescent="0.2">
      <c r="A408" s="92" t="s">
        <v>1064</v>
      </c>
    </row>
    <row r="409" spans="1:8" s="92" customFormat="1" ht="16" x14ac:dyDescent="0.2"/>
    <row r="410" spans="1:8" s="92" customFormat="1" ht="16" x14ac:dyDescent="0.2">
      <c r="A410" s="92" t="s">
        <v>1065</v>
      </c>
    </row>
    <row r="411" spans="1:8" s="92" customFormat="1" ht="16" x14ac:dyDescent="0.2">
      <c r="A411" s="92" t="s">
        <v>1066</v>
      </c>
    </row>
    <row r="412" spans="1:8" s="92" customFormat="1" ht="16" x14ac:dyDescent="0.2"/>
    <row r="413" spans="1:8" s="92" customFormat="1" ht="16" x14ac:dyDescent="0.2">
      <c r="A413" s="94" t="s">
        <v>414</v>
      </c>
      <c r="B413" s="94"/>
      <c r="C413" s="94"/>
      <c r="D413" s="94"/>
      <c r="E413" s="94"/>
      <c r="F413" s="94"/>
      <c r="G413" s="94"/>
      <c r="H413" s="94"/>
    </row>
    <row r="414" spans="1:8" s="92" customFormat="1" ht="16" x14ac:dyDescent="0.2"/>
    <row r="415" spans="1:8" s="92" customFormat="1" ht="16" x14ac:dyDescent="0.2">
      <c r="A415" s="92" t="s">
        <v>1067</v>
      </c>
    </row>
    <row r="416" spans="1:8" s="92" customFormat="1" ht="16" x14ac:dyDescent="0.2">
      <c r="A416" s="92" t="s">
        <v>1068</v>
      </c>
    </row>
    <row r="417" spans="1:9" s="92" customFormat="1" ht="16" x14ac:dyDescent="0.2"/>
    <row r="418" spans="1:9" s="92" customFormat="1" ht="16" x14ac:dyDescent="0.2">
      <c r="A418" s="92" t="s">
        <v>1069</v>
      </c>
    </row>
    <row r="419" spans="1:9" s="92" customFormat="1" ht="16" x14ac:dyDescent="0.2"/>
    <row r="420" spans="1:9" s="92" customFormat="1" ht="16" x14ac:dyDescent="0.2">
      <c r="A420" s="110" t="s">
        <v>929</v>
      </c>
      <c r="B420" s="110" t="s">
        <v>930</v>
      </c>
      <c r="C420" s="111" t="s">
        <v>931</v>
      </c>
      <c r="F420" s="105" t="s">
        <v>932</v>
      </c>
      <c r="G420" s="105" t="s">
        <v>933</v>
      </c>
      <c r="H420" s="105" t="s">
        <v>934</v>
      </c>
    </row>
    <row r="421" spans="1:9" s="92" customFormat="1" ht="16" x14ac:dyDescent="0.2">
      <c r="A421" s="105">
        <v>0</v>
      </c>
      <c r="B421" s="105"/>
      <c r="C421" s="480"/>
      <c r="F421" s="105" t="s">
        <v>935</v>
      </c>
      <c r="G421" s="105" t="s">
        <v>936</v>
      </c>
      <c r="H421" s="105" t="s">
        <v>937</v>
      </c>
    </row>
    <row r="422" spans="1:9" s="92" customFormat="1" ht="16" x14ac:dyDescent="0.2">
      <c r="A422" s="105">
        <v>1</v>
      </c>
      <c r="B422" s="105"/>
      <c r="C422" s="480"/>
      <c r="F422" s="105" t="s">
        <v>938</v>
      </c>
      <c r="G422" s="105" t="s">
        <v>939</v>
      </c>
      <c r="H422" s="105" t="s">
        <v>940</v>
      </c>
    </row>
    <row r="423" spans="1:9" s="92" customFormat="1" ht="16" x14ac:dyDescent="0.2">
      <c r="A423" s="105">
        <v>2</v>
      </c>
      <c r="B423" s="105"/>
      <c r="C423" s="480"/>
      <c r="F423" s="110" t="s">
        <v>942</v>
      </c>
      <c r="G423" s="110" t="s">
        <v>1070</v>
      </c>
      <c r="H423" s="110" t="s">
        <v>944</v>
      </c>
    </row>
    <row r="424" spans="1:9" s="92" customFormat="1" ht="16" x14ac:dyDescent="0.2">
      <c r="A424" s="105" t="s">
        <v>572</v>
      </c>
      <c r="B424" s="105"/>
      <c r="C424" s="480"/>
      <c r="F424" s="108">
        <v>5.0000000000000001E-3</v>
      </c>
      <c r="G424" s="105"/>
      <c r="H424" s="108">
        <v>5.0000000000000001E-3</v>
      </c>
      <c r="I424" s="92" t="s">
        <v>87</v>
      </c>
    </row>
    <row r="425" spans="1:9" s="92" customFormat="1" ht="16" x14ac:dyDescent="0.2">
      <c r="A425" s="105" t="s">
        <v>572</v>
      </c>
      <c r="B425" s="105"/>
      <c r="C425" s="480"/>
      <c r="F425" s="105">
        <v>24</v>
      </c>
      <c r="G425" s="105"/>
      <c r="H425" s="105">
        <v>36</v>
      </c>
      <c r="I425" s="92" t="s">
        <v>89</v>
      </c>
    </row>
    <row r="426" spans="1:9" s="92" customFormat="1" ht="16" x14ac:dyDescent="0.2">
      <c r="A426" s="110">
        <v>24</v>
      </c>
      <c r="B426" s="483">
        <v>25000</v>
      </c>
      <c r="C426" s="482">
        <v>0</v>
      </c>
      <c r="F426" s="105">
        <v>0</v>
      </c>
      <c r="G426" s="105"/>
      <c r="H426" s="468">
        <f>PV(H424,H425,H427,H428,H429)</f>
        <v>-65742.03247852996</v>
      </c>
      <c r="I426" s="92" t="s">
        <v>281</v>
      </c>
    </row>
    <row r="427" spans="1:9" s="92" customFormat="1" ht="16" x14ac:dyDescent="0.2">
      <c r="A427" s="105">
        <v>15</v>
      </c>
      <c r="B427" s="142"/>
      <c r="C427" s="142">
        <v>2000</v>
      </c>
      <c r="F427" s="481">
        <f>PMT(F424,F425,F426,F428,F429)</f>
        <v>-3568.0320926312843</v>
      </c>
      <c r="G427" s="105"/>
      <c r="H427" s="105">
        <v>2000</v>
      </c>
      <c r="I427" s="92" t="s">
        <v>91</v>
      </c>
    </row>
    <row r="428" spans="1:9" s="92" customFormat="1" ht="16" x14ac:dyDescent="0.2">
      <c r="A428" s="105" t="s">
        <v>572</v>
      </c>
      <c r="B428" s="142"/>
      <c r="C428" s="142">
        <f>C427</f>
        <v>2000</v>
      </c>
      <c r="F428" s="112">
        <f>-H426+B426+C426</f>
        <v>90742.03247852996</v>
      </c>
      <c r="G428" s="479">
        <v>25000</v>
      </c>
      <c r="H428" s="105">
        <v>0</v>
      </c>
      <c r="I428" s="92" t="s">
        <v>105</v>
      </c>
    </row>
    <row r="429" spans="1:9" s="92" customFormat="1" ht="16" x14ac:dyDescent="0.2">
      <c r="A429" s="105" t="s">
        <v>572</v>
      </c>
      <c r="B429" s="142"/>
      <c r="C429" s="142">
        <f>C428</f>
        <v>2000</v>
      </c>
      <c r="F429" s="105">
        <v>0</v>
      </c>
      <c r="G429" s="105"/>
      <c r="H429" s="105">
        <v>0</v>
      </c>
      <c r="I429" s="92" t="s">
        <v>333</v>
      </c>
    </row>
    <row r="430" spans="1:9" s="92" customFormat="1" ht="16" x14ac:dyDescent="0.2">
      <c r="A430" s="105">
        <v>59</v>
      </c>
      <c r="B430" s="142"/>
      <c r="C430" s="142">
        <f>C429</f>
        <v>2000</v>
      </c>
    </row>
    <row r="431" spans="1:9" s="92" customFormat="1" ht="16" x14ac:dyDescent="0.2">
      <c r="G431" s="105"/>
      <c r="H431" s="105"/>
    </row>
    <row r="432" spans="1:9" s="92" customFormat="1" ht="16" x14ac:dyDescent="0.2">
      <c r="A432" s="484" t="s">
        <v>1071</v>
      </c>
      <c r="F432" s="105"/>
      <c r="G432" s="105"/>
      <c r="H432" s="105"/>
    </row>
  </sheetData>
  <mergeCells count="6">
    <mergeCell ref="C71:C74"/>
    <mergeCell ref="C75:C79"/>
    <mergeCell ref="C218:C221"/>
    <mergeCell ref="A1:H1"/>
    <mergeCell ref="F134:I134"/>
    <mergeCell ref="F145:I14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J218"/>
  <sheetViews>
    <sheetView rightToLeft="1" topLeftCell="A36" zoomScale="370" zoomScaleNormal="370" workbookViewId="0">
      <selection activeCell="A46" sqref="A46:XFD79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04" t="s">
        <v>2698</v>
      </c>
      <c r="B1" s="704"/>
      <c r="C1" s="704"/>
      <c r="D1" s="704"/>
      <c r="E1" s="704"/>
      <c r="F1" s="704"/>
      <c r="G1" s="704"/>
      <c r="H1" s="704"/>
    </row>
    <row r="3" spans="1:8" x14ac:dyDescent="0.2">
      <c r="A3" s="92" t="s">
        <v>2699</v>
      </c>
    </row>
    <row r="4" spans="1:8" x14ac:dyDescent="0.2">
      <c r="A4" s="92" t="s">
        <v>2700</v>
      </c>
    </row>
    <row r="5" spans="1:8" ht="17" thickBot="1" x14ac:dyDescent="0.25"/>
    <row r="6" spans="1:8" x14ac:dyDescent="0.2">
      <c r="A6" s="95" t="s">
        <v>2701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2702</v>
      </c>
      <c r="H7" s="99"/>
    </row>
    <row r="8" spans="1:8" x14ac:dyDescent="0.2">
      <c r="A8" s="98" t="s">
        <v>2703</v>
      </c>
      <c r="H8" s="99"/>
    </row>
    <row r="9" spans="1:8" x14ac:dyDescent="0.2">
      <c r="A9" s="98" t="s">
        <v>2704</v>
      </c>
      <c r="H9" s="99"/>
    </row>
    <row r="10" spans="1:8" ht="17" thickBot="1" x14ac:dyDescent="0.25">
      <c r="A10" s="100" t="s">
        <v>2705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2708</v>
      </c>
      <c r="D12" s="105">
        <v>13</v>
      </c>
      <c r="E12" s="105" t="s">
        <v>2707</v>
      </c>
      <c r="F12" s="105">
        <v>1</v>
      </c>
      <c r="G12" s="105">
        <v>0</v>
      </c>
    </row>
    <row r="14" spans="1:8" x14ac:dyDescent="0.2">
      <c r="A14" s="92" t="s">
        <v>2706</v>
      </c>
      <c r="G14" s="611" t="s">
        <v>764</v>
      </c>
    </row>
    <row r="24" spans="1:8" x14ac:dyDescent="0.2">
      <c r="A24" s="92" t="s">
        <v>2711</v>
      </c>
      <c r="E24" s="610" t="s">
        <v>2710</v>
      </c>
      <c r="F24" s="609" t="s">
        <v>2709</v>
      </c>
    </row>
    <row r="25" spans="1:8" x14ac:dyDescent="0.2">
      <c r="A25" s="92" t="s">
        <v>2712</v>
      </c>
      <c r="E25" s="122">
        <v>3.0000000000000001E-3</v>
      </c>
      <c r="F25" s="108">
        <v>5.0000000000000001E-3</v>
      </c>
      <c r="G25" s="92" t="s">
        <v>87</v>
      </c>
    </row>
    <row r="26" spans="1:8" x14ac:dyDescent="0.2">
      <c r="E26" s="105">
        <v>12</v>
      </c>
      <c r="F26" s="105">
        <v>24</v>
      </c>
      <c r="G26" s="92" t="s">
        <v>89</v>
      </c>
    </row>
    <row r="27" spans="1:8" ht="17" thickBot="1" x14ac:dyDescent="0.25">
      <c r="E27" s="105">
        <f>F27</f>
        <v>1500</v>
      </c>
      <c r="F27" s="105">
        <v>1500</v>
      </c>
      <c r="G27" s="92" t="s">
        <v>91</v>
      </c>
    </row>
    <row r="28" spans="1:8" ht="17" thickBot="1" x14ac:dyDescent="0.25">
      <c r="E28" s="612">
        <f>PV(E25,E26,E27,E29)</f>
        <v>-50303.193583140579</v>
      </c>
      <c r="F28" s="608">
        <f>PV(F25,F26,F27,F29)</f>
        <v>-33844.299332648581</v>
      </c>
      <c r="G28" s="92" t="s">
        <v>281</v>
      </c>
    </row>
    <row r="29" spans="1:8" x14ac:dyDescent="0.2">
      <c r="E29" s="608">
        <f>-F28</f>
        <v>33844.299332648581</v>
      </c>
      <c r="F29" s="105">
        <v>0</v>
      </c>
      <c r="G29" s="92" t="s">
        <v>105</v>
      </c>
    </row>
    <row r="31" spans="1:8" x14ac:dyDescent="0.2">
      <c r="A31" s="130" t="s">
        <v>2713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2714</v>
      </c>
    </row>
    <row r="33" spans="1:8" x14ac:dyDescent="0.2">
      <c r="A33" s="92" t="s">
        <v>2715</v>
      </c>
    </row>
    <row r="34" spans="1:8" x14ac:dyDescent="0.2">
      <c r="A34" s="92" t="s">
        <v>1073</v>
      </c>
    </row>
    <row r="35" spans="1:8" x14ac:dyDescent="0.2">
      <c r="A35" s="92" t="s">
        <v>1074</v>
      </c>
    </row>
    <row r="36" spans="1:8" x14ac:dyDescent="0.2">
      <c r="A36" s="92" t="s">
        <v>1075</v>
      </c>
    </row>
    <row r="37" spans="1:8" x14ac:dyDescent="0.2">
      <c r="A37" s="92" t="s">
        <v>1076</v>
      </c>
    </row>
    <row r="38" spans="1:8" x14ac:dyDescent="0.2">
      <c r="A38" s="92" t="s">
        <v>1077</v>
      </c>
    </row>
    <row r="39" spans="1:8" x14ac:dyDescent="0.2">
      <c r="A39" s="92" t="s">
        <v>1078</v>
      </c>
    </row>
    <row r="41" spans="1:8" x14ac:dyDescent="0.2">
      <c r="A41" s="92" t="s">
        <v>1079</v>
      </c>
    </row>
    <row r="42" spans="1:8" x14ac:dyDescent="0.2">
      <c r="A42" s="92" t="s">
        <v>1080</v>
      </c>
    </row>
    <row r="43" spans="1:8" x14ac:dyDescent="0.2">
      <c r="A43" s="92" t="s">
        <v>1081</v>
      </c>
    </row>
    <row r="44" spans="1:8" x14ac:dyDescent="0.2">
      <c r="A44" s="92" t="s">
        <v>1082</v>
      </c>
    </row>
    <row r="46" spans="1:8" x14ac:dyDescent="0.2">
      <c r="A46" s="130" t="s">
        <v>1083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1084</v>
      </c>
    </row>
    <row r="50" spans="1:8" x14ac:dyDescent="0.2">
      <c r="A50" s="92" t="s">
        <v>65</v>
      </c>
    </row>
    <row r="51" spans="1:8" x14ac:dyDescent="0.2">
      <c r="A51" s="105" t="s">
        <v>1085</v>
      </c>
      <c r="B51" s="92" t="s">
        <v>1086</v>
      </c>
    </row>
    <row r="52" spans="1:8" x14ac:dyDescent="0.2">
      <c r="A52" s="105" t="s">
        <v>1087</v>
      </c>
      <c r="B52" s="92" t="s">
        <v>1088</v>
      </c>
    </row>
    <row r="53" spans="1:8" x14ac:dyDescent="0.2">
      <c r="A53" s="105" t="s">
        <v>69</v>
      </c>
      <c r="B53" s="92" t="s">
        <v>1089</v>
      </c>
    </row>
    <row r="55" spans="1:8" x14ac:dyDescent="0.2">
      <c r="A55" s="130" t="s">
        <v>1090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1091</v>
      </c>
    </row>
    <row r="59" spans="1:8" x14ac:dyDescent="0.2">
      <c r="A59" s="92" t="s">
        <v>65</v>
      </c>
    </row>
    <row r="60" spans="1:8" x14ac:dyDescent="0.2">
      <c r="A60" s="105" t="s">
        <v>1092</v>
      </c>
      <c r="B60" s="92" t="s">
        <v>1093</v>
      </c>
    </row>
    <row r="61" spans="1:8" x14ac:dyDescent="0.2">
      <c r="A61" s="105" t="s">
        <v>1087</v>
      </c>
      <c r="B61" s="92" t="s">
        <v>1094</v>
      </c>
    </row>
    <row r="62" spans="1:8" x14ac:dyDescent="0.2">
      <c r="A62" s="105" t="s">
        <v>69</v>
      </c>
      <c r="B62" s="92" t="s">
        <v>1095</v>
      </c>
    </row>
    <row r="63" spans="1:8" x14ac:dyDescent="0.2">
      <c r="A63" s="105" t="s">
        <v>1096</v>
      </c>
      <c r="B63" s="92" t="s">
        <v>1097</v>
      </c>
    </row>
    <row r="65" spans="1:8" x14ac:dyDescent="0.2">
      <c r="A65" s="130" t="s">
        <v>1098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1099</v>
      </c>
    </row>
    <row r="68" spans="1:8" x14ac:dyDescent="0.2">
      <c r="A68" s="92" t="s">
        <v>65</v>
      </c>
    </row>
    <row r="69" spans="1:8" x14ac:dyDescent="0.2">
      <c r="A69" s="105" t="s">
        <v>1092</v>
      </c>
      <c r="B69" s="92" t="s">
        <v>1100</v>
      </c>
    </row>
    <row r="70" spans="1:8" x14ac:dyDescent="0.2">
      <c r="A70" s="105" t="s">
        <v>67</v>
      </c>
      <c r="B70" s="92" t="s">
        <v>1101</v>
      </c>
    </row>
    <row r="71" spans="1:8" x14ac:dyDescent="0.2">
      <c r="A71" s="105" t="s">
        <v>1096</v>
      </c>
      <c r="B71" s="92" t="s">
        <v>1102</v>
      </c>
    </row>
    <row r="73" spans="1:8" x14ac:dyDescent="0.2">
      <c r="A73" s="130" t="s">
        <v>1103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1104</v>
      </c>
    </row>
    <row r="76" spans="1:8" x14ac:dyDescent="0.2">
      <c r="A76" s="92" t="s">
        <v>65</v>
      </c>
    </row>
    <row r="77" spans="1:8" x14ac:dyDescent="0.2">
      <c r="A77" s="105" t="s">
        <v>1092</v>
      </c>
      <c r="B77" s="92" t="s">
        <v>1105</v>
      </c>
    </row>
    <row r="78" spans="1:8" x14ac:dyDescent="0.2">
      <c r="A78" s="105" t="s">
        <v>1106</v>
      </c>
      <c r="B78" s="92" t="s">
        <v>1107</v>
      </c>
    </row>
    <row r="79" spans="1:8" x14ac:dyDescent="0.2">
      <c r="A79" s="105" t="s">
        <v>1108</v>
      </c>
      <c r="B79" s="92" t="s">
        <v>1109</v>
      </c>
    </row>
    <row r="81" spans="1:8" x14ac:dyDescent="0.2">
      <c r="A81" s="129" t="s">
        <v>1110</v>
      </c>
      <c r="B81" s="129"/>
      <c r="C81" s="129"/>
      <c r="D81" s="129"/>
      <c r="E81" s="129"/>
      <c r="F81" s="129"/>
      <c r="G81" s="129"/>
      <c r="H81" s="129"/>
    </row>
    <row r="82" spans="1:8" x14ac:dyDescent="0.2">
      <c r="A82" s="92" t="s">
        <v>1111</v>
      </c>
    </row>
    <row r="83" spans="1:8" x14ac:dyDescent="0.2">
      <c r="A83" s="92" t="s">
        <v>2716</v>
      </c>
    </row>
    <row r="84" spans="1:8" x14ac:dyDescent="0.2">
      <c r="A84" s="92" t="s">
        <v>2717</v>
      </c>
    </row>
    <row r="85" spans="1:8" x14ac:dyDescent="0.2">
      <c r="A85" s="92" t="s">
        <v>2718</v>
      </c>
    </row>
    <row r="86" spans="1:8" x14ac:dyDescent="0.2">
      <c r="A86" s="92" t="s">
        <v>2719</v>
      </c>
    </row>
    <row r="87" spans="1:8" ht="17" thickBot="1" x14ac:dyDescent="0.25"/>
    <row r="88" spans="1:8" x14ac:dyDescent="0.2">
      <c r="A88" s="103" t="s">
        <v>1112</v>
      </c>
      <c r="B88" s="96"/>
      <c r="C88" s="96"/>
      <c r="D88" s="96"/>
      <c r="E88" s="96"/>
      <c r="F88" s="96"/>
      <c r="G88" s="96"/>
      <c r="H88" s="97"/>
    </row>
    <row r="89" spans="1:8" ht="17" thickBot="1" x14ac:dyDescent="0.25">
      <c r="A89" s="100" t="s">
        <v>1113</v>
      </c>
      <c r="B89" s="101"/>
      <c r="C89" s="101"/>
      <c r="D89" s="101"/>
      <c r="E89" s="101"/>
      <c r="F89" s="101"/>
      <c r="G89" s="101"/>
      <c r="H89" s="102"/>
    </row>
    <row r="91" spans="1:8" x14ac:dyDescent="0.2">
      <c r="A91" s="92" t="s">
        <v>1114</v>
      </c>
      <c r="D91" s="131">
        <v>7.4999999999999997E-3</v>
      </c>
      <c r="E91" s="105" t="s">
        <v>1115</v>
      </c>
      <c r="G91" s="92" t="s">
        <v>1084</v>
      </c>
    </row>
    <row r="92" spans="1:8" x14ac:dyDescent="0.2">
      <c r="A92" s="92" t="s">
        <v>1116</v>
      </c>
      <c r="D92" s="131">
        <v>1.4999999999999999E-2</v>
      </c>
      <c r="E92" s="105" t="s">
        <v>1117</v>
      </c>
    </row>
    <row r="93" spans="1:8" x14ac:dyDescent="0.2">
      <c r="A93" s="92" t="s">
        <v>1118</v>
      </c>
      <c r="D93" s="131">
        <f>9%/4</f>
        <v>2.2499999999999999E-2</v>
      </c>
      <c r="E93" s="105" t="s">
        <v>1119</v>
      </c>
      <c r="F93" s="105" t="s">
        <v>2724</v>
      </c>
      <c r="G93" s="105" t="s">
        <v>1275</v>
      </c>
      <c r="H93" s="92" t="s">
        <v>2720</v>
      </c>
    </row>
    <row r="94" spans="1:8" x14ac:dyDescent="0.2">
      <c r="A94" s="92" t="s">
        <v>1120</v>
      </c>
      <c r="D94" s="131">
        <v>4.4999999999999998E-2</v>
      </c>
      <c r="E94" s="105" t="s">
        <v>1121</v>
      </c>
      <c r="F94" s="105" t="s">
        <v>2725</v>
      </c>
      <c r="G94" s="105" t="s">
        <v>2723</v>
      </c>
      <c r="H94" s="92" t="s">
        <v>2721</v>
      </c>
    </row>
    <row r="95" spans="1:8" x14ac:dyDescent="0.2">
      <c r="H95" s="92" t="s">
        <v>2722</v>
      </c>
    </row>
    <row r="96" spans="1:8" x14ac:dyDescent="0.2">
      <c r="A96" s="129" t="s">
        <v>1122</v>
      </c>
      <c r="B96" s="129"/>
      <c r="C96" s="129"/>
      <c r="D96" s="129"/>
      <c r="E96" s="129"/>
      <c r="F96" s="129"/>
      <c r="G96" s="129"/>
      <c r="H96" s="129"/>
    </row>
    <row r="97" spans="1:7" x14ac:dyDescent="0.2">
      <c r="A97" s="92" t="s">
        <v>1123</v>
      </c>
    </row>
    <row r="98" spans="1:7" x14ac:dyDescent="0.2">
      <c r="A98" s="92" t="s">
        <v>1124</v>
      </c>
    </row>
    <row r="99" spans="1:7" x14ac:dyDescent="0.2">
      <c r="A99" s="92" t="s">
        <v>2728</v>
      </c>
    </row>
    <row r="101" spans="1:7" x14ac:dyDescent="0.2">
      <c r="A101" s="133" t="s">
        <v>1114</v>
      </c>
      <c r="C101" s="615">
        <v>1</v>
      </c>
      <c r="D101" s="110"/>
      <c r="E101" s="110"/>
      <c r="F101" s="111"/>
      <c r="G101" s="110">
        <v>0</v>
      </c>
    </row>
    <row r="102" spans="1:7" x14ac:dyDescent="0.2">
      <c r="C102" s="471">
        <f>-20000*(1+8%)</f>
        <v>-21600</v>
      </c>
      <c r="D102" s="613" t="s">
        <v>1125</v>
      </c>
      <c r="E102" s="614"/>
      <c r="F102" s="614"/>
      <c r="G102" s="471">
        <v>20000</v>
      </c>
    </row>
    <row r="103" spans="1:7" x14ac:dyDescent="0.2">
      <c r="C103" s="470" t="s">
        <v>1126</v>
      </c>
      <c r="D103" s="614"/>
      <c r="E103" s="614"/>
      <c r="F103" s="614"/>
      <c r="G103" s="307" t="s">
        <v>1127</v>
      </c>
    </row>
    <row r="104" spans="1:7" s="307" customFormat="1" x14ac:dyDescent="0.2">
      <c r="C104" s="470" t="s">
        <v>1128</v>
      </c>
      <c r="G104" s="307" t="s">
        <v>1129</v>
      </c>
    </row>
    <row r="105" spans="1:7" s="307" customFormat="1" x14ac:dyDescent="0.2"/>
    <row r="106" spans="1:7" s="307" customFormat="1" x14ac:dyDescent="0.2">
      <c r="E106" s="469">
        <v>0.08</v>
      </c>
      <c r="G106" s="307" t="s">
        <v>1130</v>
      </c>
    </row>
    <row r="107" spans="1:7" s="307" customFormat="1" x14ac:dyDescent="0.2"/>
    <row r="108" spans="1:7" x14ac:dyDescent="0.2">
      <c r="A108" s="92" t="s">
        <v>1131</v>
      </c>
    </row>
    <row r="109" spans="1:7" x14ac:dyDescent="0.2">
      <c r="A109" s="92" t="s">
        <v>2726</v>
      </c>
    </row>
    <row r="110" spans="1:7" x14ac:dyDescent="0.2">
      <c r="A110" s="92" t="s">
        <v>2727</v>
      </c>
    </row>
    <row r="112" spans="1:7" x14ac:dyDescent="0.2">
      <c r="D112" s="92" t="s">
        <v>1132</v>
      </c>
      <c r="E112" s="92" t="s">
        <v>1133</v>
      </c>
    </row>
    <row r="113" spans="1:8" x14ac:dyDescent="0.2">
      <c r="A113" s="133" t="s">
        <v>1116</v>
      </c>
    </row>
    <row r="114" spans="1:8" x14ac:dyDescent="0.2">
      <c r="C114" s="110">
        <v>1</v>
      </c>
      <c r="D114" s="110">
        <v>0.75</v>
      </c>
      <c r="E114" s="110">
        <v>0.5</v>
      </c>
      <c r="F114" s="110">
        <v>0.25</v>
      </c>
      <c r="G114" s="110">
        <v>0</v>
      </c>
    </row>
    <row r="115" spans="1:8" x14ac:dyDescent="0.2">
      <c r="C115" s="487">
        <f>-D115*1.02</f>
        <v>-21648.643199999999</v>
      </c>
      <c r="D115" s="618">
        <f>20808*1.02</f>
        <v>21224.16</v>
      </c>
      <c r="E115" s="617">
        <f>20400*(1+2%)</f>
        <v>20808</v>
      </c>
      <c r="F115" s="617">
        <f>20000*(1+2%)</f>
        <v>20400</v>
      </c>
      <c r="G115" s="616">
        <v>20000</v>
      </c>
    </row>
    <row r="116" spans="1:8" x14ac:dyDescent="0.2">
      <c r="C116" s="614"/>
      <c r="D116" s="614"/>
      <c r="E116" s="614"/>
      <c r="F116" s="614"/>
      <c r="G116" s="614"/>
    </row>
    <row r="117" spans="1:8" x14ac:dyDescent="0.2">
      <c r="C117" s="307" t="s">
        <v>1134</v>
      </c>
      <c r="D117" s="307" t="s">
        <v>1134</v>
      </c>
      <c r="E117" s="307" t="s">
        <v>1134</v>
      </c>
      <c r="F117" s="307"/>
      <c r="G117" s="307" t="s">
        <v>1134</v>
      </c>
    </row>
    <row r="118" spans="1:8" s="307" customFormat="1" x14ac:dyDescent="0.2"/>
    <row r="119" spans="1:8" s="307" customFormat="1" x14ac:dyDescent="0.2">
      <c r="A119" s="307" t="s">
        <v>1135</v>
      </c>
    </row>
    <row r="120" spans="1:8" s="307" customFormat="1" x14ac:dyDescent="0.2">
      <c r="A120" s="307" t="s">
        <v>2729</v>
      </c>
    </row>
    <row r="121" spans="1:8" s="307" customFormat="1" x14ac:dyDescent="0.2"/>
    <row r="122" spans="1:8" s="307" customFormat="1" x14ac:dyDescent="0.2">
      <c r="E122" s="619">
        <f>-C115/G115-1</f>
        <v>8.2432159999999977E-2</v>
      </c>
      <c r="G122" s="307" t="s">
        <v>1136</v>
      </c>
    </row>
    <row r="123" spans="1:8" s="307" customFormat="1" ht="17" thickBot="1" x14ac:dyDescent="0.25"/>
    <row r="124" spans="1:8" ht="17" thickBot="1" x14ac:dyDescent="0.25">
      <c r="A124" s="488" t="s">
        <v>2730</v>
      </c>
      <c r="B124" s="125"/>
      <c r="C124" s="125"/>
      <c r="D124" s="125"/>
      <c r="E124" s="125"/>
      <c r="F124" s="125"/>
      <c r="G124" s="125"/>
      <c r="H124" s="126"/>
    </row>
    <row r="125" spans="1:8" x14ac:dyDescent="0.2">
      <c r="G125" s="705" t="s">
        <v>1137</v>
      </c>
      <c r="H125" s="705"/>
    </row>
    <row r="126" spans="1:8" x14ac:dyDescent="0.2">
      <c r="D126" s="135"/>
      <c r="E126" s="135" t="s">
        <v>1091</v>
      </c>
    </row>
    <row r="127" spans="1:8" x14ac:dyDescent="0.2">
      <c r="D127" s="135"/>
      <c r="E127" s="135"/>
    </row>
    <row r="128" spans="1:8" x14ac:dyDescent="0.2">
      <c r="E128" s="92" t="s">
        <v>1138</v>
      </c>
    </row>
    <row r="129" spans="1:8" x14ac:dyDescent="0.2">
      <c r="A129" s="92" t="s">
        <v>65</v>
      </c>
      <c r="G129" s="92" t="s">
        <v>1139</v>
      </c>
    </row>
    <row r="130" spans="1:8" x14ac:dyDescent="0.2">
      <c r="A130" s="105" t="s">
        <v>1092</v>
      </c>
      <c r="B130" s="92" t="s">
        <v>1093</v>
      </c>
      <c r="G130" s="92" t="s">
        <v>1140</v>
      </c>
    </row>
    <row r="131" spans="1:8" x14ac:dyDescent="0.2">
      <c r="A131" s="105" t="s">
        <v>1087</v>
      </c>
      <c r="B131" s="92" t="s">
        <v>1094</v>
      </c>
    </row>
    <row r="132" spans="1:8" x14ac:dyDescent="0.2">
      <c r="A132" s="105" t="s">
        <v>69</v>
      </c>
      <c r="B132" s="92" t="s">
        <v>1095</v>
      </c>
      <c r="H132" s="92" t="s">
        <v>1141</v>
      </c>
    </row>
    <row r="133" spans="1:8" x14ac:dyDescent="0.2">
      <c r="A133" s="105" t="s">
        <v>1096</v>
      </c>
      <c r="B133" s="92" t="s">
        <v>1097</v>
      </c>
      <c r="H133" s="92" t="s">
        <v>1142</v>
      </c>
    </row>
    <row r="134" spans="1:8" x14ac:dyDescent="0.2">
      <c r="H134" s="92" t="s">
        <v>1143</v>
      </c>
    </row>
    <row r="135" spans="1:8" x14ac:dyDescent="0.2">
      <c r="A135" s="136" t="s">
        <v>1144</v>
      </c>
      <c r="B135" s="137"/>
      <c r="C135" s="137"/>
      <c r="D135" s="137"/>
      <c r="E135" s="137"/>
      <c r="F135" s="137"/>
      <c r="G135" s="137"/>
      <c r="H135" s="138"/>
    </row>
    <row r="136" spans="1:8" x14ac:dyDescent="0.2">
      <c r="A136" s="139" t="s">
        <v>1145</v>
      </c>
      <c r="B136" s="111"/>
      <c r="C136" s="111"/>
      <c r="D136" s="111"/>
      <c r="E136" s="111"/>
      <c r="F136" s="111"/>
      <c r="G136" s="111"/>
      <c r="H136" s="140"/>
    </row>
    <row r="138" spans="1:8" x14ac:dyDescent="0.2">
      <c r="A138" s="129" t="s">
        <v>1146</v>
      </c>
      <c r="B138" s="129"/>
      <c r="C138" s="129"/>
      <c r="D138" s="129"/>
      <c r="E138" s="129"/>
      <c r="F138" s="129"/>
      <c r="G138" s="129"/>
      <c r="H138" s="129"/>
    </row>
    <row r="139" spans="1:8" x14ac:dyDescent="0.2">
      <c r="A139" s="92" t="s">
        <v>1147</v>
      </c>
    </row>
    <row r="140" spans="1:8" x14ac:dyDescent="0.2">
      <c r="A140" s="92" t="s">
        <v>1148</v>
      </c>
      <c r="H140" s="135" t="s">
        <v>1091</v>
      </c>
    </row>
    <row r="141" spans="1:8" x14ac:dyDescent="0.2">
      <c r="A141" s="92" t="s">
        <v>1149</v>
      </c>
      <c r="H141" s="92" t="s">
        <v>1150</v>
      </c>
    </row>
    <row r="142" spans="1:8" x14ac:dyDescent="0.2">
      <c r="A142" s="92" t="s">
        <v>1151</v>
      </c>
      <c r="H142" s="92" t="s">
        <v>1152</v>
      </c>
    </row>
    <row r="143" spans="1:8" x14ac:dyDescent="0.2">
      <c r="A143" s="92" t="s">
        <v>1153</v>
      </c>
      <c r="H143" s="92" t="s">
        <v>1154</v>
      </c>
    </row>
    <row r="144" spans="1:8" x14ac:dyDescent="0.2">
      <c r="A144" s="92" t="s">
        <v>1155</v>
      </c>
      <c r="H144" s="92" t="s">
        <v>1156</v>
      </c>
    </row>
    <row r="146" spans="1:8" x14ac:dyDescent="0.2">
      <c r="A146" s="129" t="s">
        <v>2731</v>
      </c>
      <c r="B146" s="129"/>
      <c r="C146" s="129"/>
      <c r="D146" s="129"/>
      <c r="E146" s="129"/>
      <c r="F146" s="129"/>
      <c r="G146" s="129"/>
      <c r="H146" s="129"/>
    </row>
    <row r="147" spans="1:8" x14ac:dyDescent="0.2">
      <c r="A147" s="92" t="s">
        <v>1157</v>
      </c>
      <c r="H147" s="135" t="s">
        <v>1091</v>
      </c>
    </row>
    <row r="148" spans="1:8" x14ac:dyDescent="0.2">
      <c r="A148" s="92" t="s">
        <v>1158</v>
      </c>
      <c r="F148" s="307"/>
      <c r="G148" s="307"/>
      <c r="H148" s="307" t="s">
        <v>1159</v>
      </c>
    </row>
    <row r="149" spans="1:8" x14ac:dyDescent="0.2">
      <c r="A149" s="92" t="s">
        <v>1160</v>
      </c>
      <c r="G149" s="307"/>
      <c r="H149" s="307" t="s">
        <v>1161</v>
      </c>
    </row>
    <row r="150" spans="1:8" s="307" customFormat="1" x14ac:dyDescent="0.2">
      <c r="A150" s="307" t="s">
        <v>1162</v>
      </c>
      <c r="H150" s="307" t="s">
        <v>1163</v>
      </c>
    </row>
    <row r="151" spans="1:8" s="307" customFormat="1" x14ac:dyDescent="0.2">
      <c r="A151" s="307" t="s">
        <v>1164</v>
      </c>
      <c r="H151" s="307" t="s">
        <v>1165</v>
      </c>
    </row>
    <row r="152" spans="1:8" ht="17" customHeight="1" x14ac:dyDescent="0.2"/>
    <row r="153" spans="1:8" ht="17" customHeight="1" x14ac:dyDescent="0.2">
      <c r="A153" s="92" t="s">
        <v>1166</v>
      </c>
    </row>
    <row r="154" spans="1:8" ht="17" customHeight="1" x14ac:dyDescent="0.2">
      <c r="A154" s="92" t="s">
        <v>1167</v>
      </c>
    </row>
    <row r="155" spans="1:8" ht="17" customHeight="1" x14ac:dyDescent="0.2">
      <c r="A155" s="92" t="s">
        <v>1168</v>
      </c>
    </row>
    <row r="156" spans="1:8" ht="17" customHeight="1" x14ac:dyDescent="0.2"/>
    <row r="157" spans="1:8" ht="17" customHeight="1" x14ac:dyDescent="0.2">
      <c r="A157" s="92" t="s">
        <v>1169</v>
      </c>
      <c r="B157" s="92" t="s">
        <v>1170</v>
      </c>
      <c r="D157" s="92" t="s">
        <v>1171</v>
      </c>
    </row>
    <row r="158" spans="1:8" ht="17" customHeight="1" x14ac:dyDescent="0.2">
      <c r="B158" s="92" t="s">
        <v>1172</v>
      </c>
      <c r="D158" s="92" t="s">
        <v>1173</v>
      </c>
      <c r="E158" s="92" t="s">
        <v>1174</v>
      </c>
    </row>
    <row r="159" spans="1:8" ht="17" customHeight="1" x14ac:dyDescent="0.2">
      <c r="B159" s="92" t="s">
        <v>1175</v>
      </c>
      <c r="D159" s="92">
        <v>4</v>
      </c>
    </row>
    <row r="160" spans="1:8" ht="17" customHeight="1" x14ac:dyDescent="0.2"/>
    <row r="161" spans="1:8" ht="17" customHeight="1" x14ac:dyDescent="0.2">
      <c r="A161" s="92" t="s">
        <v>1176</v>
      </c>
      <c r="B161" s="92" t="s">
        <v>1170</v>
      </c>
      <c r="D161" s="92" t="s">
        <v>1177</v>
      </c>
    </row>
    <row r="162" spans="1:8" ht="17" customHeight="1" x14ac:dyDescent="0.2">
      <c r="B162" s="92" t="s">
        <v>1172</v>
      </c>
      <c r="D162" s="92" t="s">
        <v>1173</v>
      </c>
      <c r="E162" s="92" t="s">
        <v>1174</v>
      </c>
    </row>
    <row r="163" spans="1:8" ht="17" customHeight="1" x14ac:dyDescent="0.2">
      <c r="B163" s="92" t="s">
        <v>1175</v>
      </c>
      <c r="D163" s="92">
        <v>8</v>
      </c>
    </row>
    <row r="164" spans="1:8" ht="17" customHeight="1" x14ac:dyDescent="0.2"/>
    <row r="165" spans="1:8" ht="17" customHeight="1" x14ac:dyDescent="0.2">
      <c r="A165" s="92" t="s">
        <v>1178</v>
      </c>
      <c r="B165" s="92" t="s">
        <v>1170</v>
      </c>
      <c r="D165" s="92" t="s">
        <v>352</v>
      </c>
    </row>
    <row r="166" spans="1:8" ht="17" customHeight="1" x14ac:dyDescent="0.2">
      <c r="B166" s="92" t="s">
        <v>1172</v>
      </c>
      <c r="D166" s="92" t="s">
        <v>1173</v>
      </c>
      <c r="E166" s="92" t="s">
        <v>1174</v>
      </c>
    </row>
    <row r="167" spans="1:8" ht="17" customHeight="1" x14ac:dyDescent="0.2">
      <c r="B167" s="92" t="s">
        <v>1175</v>
      </c>
      <c r="D167" s="92">
        <v>12</v>
      </c>
    </row>
    <row r="168" spans="1:8" ht="17" customHeight="1" x14ac:dyDescent="0.2"/>
    <row r="169" spans="1:8" ht="17" customHeight="1" x14ac:dyDescent="0.2">
      <c r="A169" s="92" t="s">
        <v>1178</v>
      </c>
      <c r="B169" s="92" t="s">
        <v>1170</v>
      </c>
      <c r="D169" s="92" t="s">
        <v>1179</v>
      </c>
    </row>
    <row r="170" spans="1:8" ht="17" customHeight="1" x14ac:dyDescent="0.2">
      <c r="B170" s="92" t="s">
        <v>1172</v>
      </c>
      <c r="D170" s="92" t="s">
        <v>1173</v>
      </c>
      <c r="E170" s="92" t="s">
        <v>1174</v>
      </c>
    </row>
    <row r="171" spans="1:8" ht="17" customHeight="1" x14ac:dyDescent="0.2">
      <c r="B171" s="92" t="s">
        <v>1175</v>
      </c>
      <c r="D171" s="141" t="s">
        <v>1180</v>
      </c>
      <c r="E171" s="92" t="s">
        <v>1181</v>
      </c>
    </row>
    <row r="172" spans="1:8" ht="17" customHeight="1" x14ac:dyDescent="0.2">
      <c r="E172" s="92" t="s">
        <v>1182</v>
      </c>
    </row>
    <row r="173" spans="1:8" ht="17" customHeight="1" x14ac:dyDescent="0.2"/>
    <row r="174" spans="1:8" x14ac:dyDescent="0.2">
      <c r="A174" s="129" t="s">
        <v>2732</v>
      </c>
      <c r="B174" s="129"/>
      <c r="C174" s="129"/>
      <c r="D174" s="129"/>
      <c r="E174" s="129"/>
      <c r="F174" s="129"/>
      <c r="G174" s="129"/>
      <c r="H174" s="129"/>
    </row>
    <row r="175" spans="1:8" x14ac:dyDescent="0.2">
      <c r="A175" s="92" t="s">
        <v>1183</v>
      </c>
    </row>
    <row r="176" spans="1:8" x14ac:dyDescent="0.2">
      <c r="A176" s="92" t="s">
        <v>1184</v>
      </c>
    </row>
    <row r="177" spans="1:7" x14ac:dyDescent="0.2">
      <c r="A177" s="92" t="s">
        <v>1185</v>
      </c>
    </row>
    <row r="178" spans="1:7" x14ac:dyDescent="0.2">
      <c r="A178" s="92" t="s">
        <v>1186</v>
      </c>
    </row>
    <row r="180" spans="1:7" x14ac:dyDescent="0.2">
      <c r="A180" s="489" t="s">
        <v>1187</v>
      </c>
    </row>
    <row r="181" spans="1:7" x14ac:dyDescent="0.2">
      <c r="A181" s="92" t="s">
        <v>1188</v>
      </c>
    </row>
    <row r="182" spans="1:7" x14ac:dyDescent="0.2">
      <c r="F182" s="135" t="s">
        <v>1091</v>
      </c>
    </row>
    <row r="183" spans="1:7" s="307" customFormat="1" x14ac:dyDescent="0.2">
      <c r="A183" s="307" t="s">
        <v>1190</v>
      </c>
      <c r="F183" s="307" t="s">
        <v>1191</v>
      </c>
    </row>
    <row r="184" spans="1:7" s="307" customFormat="1" x14ac:dyDescent="0.2">
      <c r="A184" s="307" t="s">
        <v>1192</v>
      </c>
      <c r="F184" s="307" t="s">
        <v>1193</v>
      </c>
    </row>
    <row r="185" spans="1:7" s="307" customFormat="1" x14ac:dyDescent="0.2">
      <c r="A185" s="307" t="s">
        <v>1194</v>
      </c>
    </row>
    <row r="186" spans="1:7" s="307" customFormat="1" x14ac:dyDescent="0.2">
      <c r="F186" s="307" t="s">
        <v>1195</v>
      </c>
    </row>
    <row r="187" spans="1:7" x14ac:dyDescent="0.2">
      <c r="E187" s="620">
        <f>(1.195618^(1/12)-1)*12</f>
        <v>0.1799998544405943</v>
      </c>
      <c r="F187" s="470" t="s">
        <v>197</v>
      </c>
    </row>
    <row r="188" spans="1:7" s="307" customFormat="1" x14ac:dyDescent="0.2"/>
    <row r="189" spans="1:7" s="307" customFormat="1" x14ac:dyDescent="0.2"/>
    <row r="190" spans="1:7" x14ac:dyDescent="0.2">
      <c r="A190" s="490" t="s">
        <v>1196</v>
      </c>
    </row>
    <row r="191" spans="1:7" x14ac:dyDescent="0.2">
      <c r="A191" s="117" t="s">
        <v>1197</v>
      </c>
      <c r="B191" s="117"/>
      <c r="C191" s="117"/>
      <c r="D191" s="117"/>
      <c r="E191" s="117"/>
      <c r="F191" s="117"/>
      <c r="G191" s="117"/>
    </row>
    <row r="192" spans="1:7" x14ac:dyDescent="0.2">
      <c r="A192" s="117" t="s">
        <v>1198</v>
      </c>
      <c r="B192" s="117"/>
      <c r="C192" s="117"/>
      <c r="D192" s="117"/>
      <c r="E192" s="117"/>
      <c r="F192" s="117"/>
      <c r="G192" s="117"/>
    </row>
    <row r="194" spans="1:10" x14ac:dyDescent="0.2">
      <c r="F194" s="92" t="s">
        <v>1099</v>
      </c>
    </row>
    <row r="195" spans="1:10" x14ac:dyDescent="0.2">
      <c r="F195" s="92" t="s">
        <v>1199</v>
      </c>
    </row>
    <row r="196" spans="1:10" x14ac:dyDescent="0.2">
      <c r="B196" s="92" t="s">
        <v>65</v>
      </c>
    </row>
    <row r="197" spans="1:10" x14ac:dyDescent="0.2">
      <c r="B197" s="105" t="s">
        <v>1092</v>
      </c>
      <c r="C197" s="92" t="s">
        <v>1100</v>
      </c>
    </row>
    <row r="198" spans="1:10" x14ac:dyDescent="0.2">
      <c r="B198" s="105" t="s">
        <v>67</v>
      </c>
      <c r="C198" s="92" t="s">
        <v>1101</v>
      </c>
    </row>
    <row r="199" spans="1:10" x14ac:dyDescent="0.2">
      <c r="B199" s="105" t="s">
        <v>1096</v>
      </c>
      <c r="C199" s="92" t="s">
        <v>1102</v>
      </c>
    </row>
    <row r="200" spans="1:10" ht="17" thickBot="1" x14ac:dyDescent="0.25">
      <c r="B200" s="105"/>
    </row>
    <row r="201" spans="1:10" x14ac:dyDescent="0.2">
      <c r="A201" s="103" t="s">
        <v>1200</v>
      </c>
      <c r="B201" s="485"/>
      <c r="C201" s="96"/>
      <c r="D201" s="96"/>
      <c r="E201" s="96"/>
      <c r="F201" s="96"/>
      <c r="G201" s="96"/>
      <c r="H201" s="96"/>
      <c r="I201" s="97"/>
    </row>
    <row r="202" spans="1:10" x14ac:dyDescent="0.2">
      <c r="A202" s="98" t="s">
        <v>1201</v>
      </c>
      <c r="B202" s="105"/>
      <c r="I202" s="99" t="s">
        <v>1189</v>
      </c>
      <c r="J202" s="92">
        <v>1</v>
      </c>
    </row>
    <row r="203" spans="1:10" ht="17" thickBot="1" x14ac:dyDescent="0.25">
      <c r="A203" s="100" t="s">
        <v>1202</v>
      </c>
      <c r="B203" s="486"/>
      <c r="C203" s="101"/>
      <c r="D203" s="101"/>
      <c r="E203" s="101"/>
      <c r="F203" s="101"/>
      <c r="G203" s="101"/>
      <c r="H203" s="101"/>
      <c r="I203" s="102" t="s">
        <v>1099</v>
      </c>
      <c r="J203" s="92">
        <v>2</v>
      </c>
    </row>
    <row r="204" spans="1:10" x14ac:dyDescent="0.2">
      <c r="B204" s="105"/>
    </row>
    <row r="205" spans="1:10" x14ac:dyDescent="0.2">
      <c r="A205" s="167" t="s">
        <v>2733</v>
      </c>
      <c r="B205" s="527"/>
      <c r="C205" s="167"/>
      <c r="D205" s="167"/>
      <c r="E205" s="167"/>
      <c r="F205" s="167"/>
      <c r="G205" s="167"/>
      <c r="H205" s="167"/>
    </row>
    <row r="206" spans="1:10" x14ac:dyDescent="0.2">
      <c r="A206" s="92" t="s">
        <v>2734</v>
      </c>
      <c r="B206" s="105"/>
    </row>
    <row r="207" spans="1:10" x14ac:dyDescent="0.2">
      <c r="A207" s="92" t="s">
        <v>2735</v>
      </c>
      <c r="B207" s="105"/>
    </row>
    <row r="208" spans="1:10" x14ac:dyDescent="0.2">
      <c r="A208" s="92" t="s">
        <v>2736</v>
      </c>
      <c r="B208" s="105"/>
    </row>
    <row r="209" spans="1:8" x14ac:dyDescent="0.2">
      <c r="B209" s="105"/>
    </row>
    <row r="210" spans="1:8" x14ac:dyDescent="0.2">
      <c r="A210" s="92" t="s">
        <v>2737</v>
      </c>
      <c r="B210" s="105"/>
    </row>
    <row r="211" spans="1:8" x14ac:dyDescent="0.2">
      <c r="A211" s="92" t="s">
        <v>617</v>
      </c>
      <c r="B211" s="105"/>
      <c r="H211" s="92" t="s">
        <v>1189</v>
      </c>
    </row>
    <row r="212" spans="1:8" x14ac:dyDescent="0.2">
      <c r="B212" s="105"/>
      <c r="E212" s="134">
        <f>(1+6%/12)^6-1</f>
        <v>3.0377509393764601E-2</v>
      </c>
      <c r="H212" s="92" t="s">
        <v>2738</v>
      </c>
    </row>
    <row r="213" spans="1:8" x14ac:dyDescent="0.2">
      <c r="B213" s="105"/>
      <c r="H213" s="92" t="s">
        <v>1099</v>
      </c>
    </row>
    <row r="214" spans="1:8" x14ac:dyDescent="0.2">
      <c r="A214" s="92" t="s">
        <v>616</v>
      </c>
      <c r="B214" s="105"/>
      <c r="E214" s="134">
        <f>(1+3.5%)^2-1</f>
        <v>7.1224999999999872E-2</v>
      </c>
      <c r="H214" s="92" t="s">
        <v>2739</v>
      </c>
    </row>
    <row r="215" spans="1:8" x14ac:dyDescent="0.2">
      <c r="B215" s="105"/>
    </row>
    <row r="216" spans="1:8" x14ac:dyDescent="0.2">
      <c r="A216" s="92" t="s">
        <v>2740</v>
      </c>
      <c r="B216" s="105"/>
    </row>
    <row r="217" spans="1:8" x14ac:dyDescent="0.2">
      <c r="B217" s="105"/>
    </row>
    <row r="218" spans="1:8" x14ac:dyDescent="0.2">
      <c r="B218" s="105"/>
    </row>
  </sheetData>
  <mergeCells count="2">
    <mergeCell ref="A1:H1"/>
    <mergeCell ref="G125:H125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601"/>
  <sheetViews>
    <sheetView rightToLeft="1" topLeftCell="A394" zoomScale="380" zoomScaleNormal="380" workbookViewId="0">
      <selection activeCell="C407" activeCellId="1" sqref="C405 C407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04" t="s">
        <v>2756</v>
      </c>
      <c r="B1" s="704"/>
      <c r="C1" s="704"/>
      <c r="D1" s="704"/>
      <c r="E1" s="704"/>
      <c r="F1" s="704"/>
      <c r="G1" s="704"/>
      <c r="H1" s="704"/>
    </row>
    <row r="3" spans="1:8" x14ac:dyDescent="0.2">
      <c r="A3" s="148" t="s">
        <v>1263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1264</v>
      </c>
    </row>
    <row r="5" spans="1:8" x14ac:dyDescent="0.2">
      <c r="A5" s="43" t="s">
        <v>2752</v>
      </c>
    </row>
    <row r="6" spans="1:8" x14ac:dyDescent="0.2">
      <c r="A6" s="43" t="s">
        <v>2753</v>
      </c>
    </row>
    <row r="7" spans="1:8" x14ac:dyDescent="0.2">
      <c r="A7" s="43" t="s">
        <v>2754</v>
      </c>
    </row>
    <row r="9" spans="1:8" x14ac:dyDescent="0.2">
      <c r="A9" s="43" t="s">
        <v>2755</v>
      </c>
    </row>
    <row r="11" spans="1:8" s="92" customFormat="1" ht="16" x14ac:dyDescent="0.2">
      <c r="A11" s="130" t="s">
        <v>1083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1084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1085</v>
      </c>
      <c r="B16" s="92" t="s">
        <v>1086</v>
      </c>
    </row>
    <row r="17" spans="1:8" s="92" customFormat="1" ht="16" x14ac:dyDescent="0.2">
      <c r="A17" s="105" t="s">
        <v>1087</v>
      </c>
      <c r="B17" s="92" t="s">
        <v>1088</v>
      </c>
    </row>
    <row r="18" spans="1:8" s="92" customFormat="1" ht="16" x14ac:dyDescent="0.2">
      <c r="A18" s="105" t="s">
        <v>69</v>
      </c>
      <c r="B18" s="92" t="s">
        <v>1089</v>
      </c>
    </row>
    <row r="19" spans="1:8" s="92" customFormat="1" ht="16" x14ac:dyDescent="0.2"/>
    <row r="20" spans="1:8" s="92" customFormat="1" ht="16" x14ac:dyDescent="0.2">
      <c r="A20" s="130" t="s">
        <v>1090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1091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1092</v>
      </c>
      <c r="B25" s="92" t="s">
        <v>1093</v>
      </c>
    </row>
    <row r="26" spans="1:8" s="92" customFormat="1" ht="16" x14ac:dyDescent="0.2">
      <c r="A26" s="105" t="s">
        <v>1087</v>
      </c>
      <c r="B26" s="92" t="s">
        <v>1094</v>
      </c>
    </row>
    <row r="27" spans="1:8" s="92" customFormat="1" ht="16" x14ac:dyDescent="0.2">
      <c r="A27" s="105" t="s">
        <v>69</v>
      </c>
      <c r="B27" s="92" t="s">
        <v>1095</v>
      </c>
    </row>
    <row r="28" spans="1:8" s="92" customFormat="1" ht="16" x14ac:dyDescent="0.2">
      <c r="A28" s="105" t="s">
        <v>1096</v>
      </c>
      <c r="B28" s="92" t="s">
        <v>1097</v>
      </c>
    </row>
    <row r="29" spans="1:8" s="92" customFormat="1" ht="16" x14ac:dyDescent="0.2"/>
    <row r="30" spans="1:8" s="92" customFormat="1" ht="16" x14ac:dyDescent="0.2">
      <c r="A30" s="130" t="s">
        <v>1098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1099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1092</v>
      </c>
      <c r="B34" s="92" t="s">
        <v>1100</v>
      </c>
    </row>
    <row r="35" spans="1:8" s="92" customFormat="1" ht="16" x14ac:dyDescent="0.2">
      <c r="A35" s="105" t="s">
        <v>67</v>
      </c>
      <c r="B35" s="92" t="s">
        <v>1101</v>
      </c>
    </row>
    <row r="36" spans="1:8" s="92" customFormat="1" ht="16" x14ac:dyDescent="0.2">
      <c r="A36" s="105" t="s">
        <v>1096</v>
      </c>
      <c r="B36" s="92" t="s">
        <v>1102</v>
      </c>
    </row>
    <row r="37" spans="1:8" s="92" customFormat="1" ht="16" x14ac:dyDescent="0.2"/>
    <row r="38" spans="1:8" s="92" customFormat="1" ht="16" x14ac:dyDescent="0.2">
      <c r="A38" s="130" t="s">
        <v>1103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1104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1092</v>
      </c>
      <c r="B42" s="92" t="s">
        <v>1105</v>
      </c>
    </row>
    <row r="43" spans="1:8" s="92" customFormat="1" ht="16" x14ac:dyDescent="0.2">
      <c r="A43" s="105" t="s">
        <v>1106</v>
      </c>
      <c r="B43" s="92" t="s">
        <v>1107</v>
      </c>
    </row>
    <row r="44" spans="1:8" s="92" customFormat="1" ht="16" x14ac:dyDescent="0.2">
      <c r="A44" s="105" t="s">
        <v>1108</v>
      </c>
      <c r="B44" s="92" t="s">
        <v>1109</v>
      </c>
    </row>
    <row r="46" spans="1:8" s="92" customFormat="1" ht="16" x14ac:dyDescent="0.2">
      <c r="A46" s="129" t="s">
        <v>2757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1203</v>
      </c>
    </row>
    <row r="48" spans="1:8" s="92" customFormat="1" ht="16" x14ac:dyDescent="0.2">
      <c r="A48" s="92" t="s">
        <v>1204</v>
      </c>
    </row>
    <row r="49" spans="1:8" s="92" customFormat="1" ht="16" x14ac:dyDescent="0.2">
      <c r="A49" s="92" t="s">
        <v>1205</v>
      </c>
    </row>
    <row r="50" spans="1:8" s="92" customFormat="1" ht="16" x14ac:dyDescent="0.2"/>
    <row r="51" spans="1:8" s="92" customFormat="1" ht="16" x14ac:dyDescent="0.2">
      <c r="A51" s="92" t="s">
        <v>2758</v>
      </c>
    </row>
    <row r="52" spans="1:8" s="92" customFormat="1" ht="16" x14ac:dyDescent="0.2">
      <c r="A52" s="92" t="s">
        <v>2759</v>
      </c>
    </row>
    <row r="53" spans="1:8" s="92" customFormat="1" ht="16" x14ac:dyDescent="0.2">
      <c r="A53" s="92" t="s">
        <v>2760</v>
      </c>
    </row>
    <row r="54" spans="1:8" s="92" customFormat="1" ht="16" x14ac:dyDescent="0.2">
      <c r="A54" s="92" t="s">
        <v>2761</v>
      </c>
    </row>
    <row r="55" spans="1:8" s="92" customFormat="1" ht="16" x14ac:dyDescent="0.2">
      <c r="A55" s="92" t="s">
        <v>2762</v>
      </c>
    </row>
    <row r="56" spans="1:8" s="92" customFormat="1" ht="16" x14ac:dyDescent="0.2"/>
    <row r="57" spans="1:8" s="92" customFormat="1" ht="16" x14ac:dyDescent="0.2">
      <c r="A57" s="92" t="s">
        <v>2763</v>
      </c>
    </row>
    <row r="58" spans="1:8" s="92" customFormat="1" ht="17" thickBot="1" x14ac:dyDescent="0.25">
      <c r="A58" s="92" t="s">
        <v>2764</v>
      </c>
    </row>
    <row r="59" spans="1:8" s="92" customFormat="1" ht="16" x14ac:dyDescent="0.2">
      <c r="D59" s="103"/>
      <c r="E59" s="96"/>
      <c r="F59" s="96"/>
      <c r="G59" s="96"/>
      <c r="H59" s="97" t="s">
        <v>1104</v>
      </c>
    </row>
    <row r="60" spans="1:8" s="92" customFormat="1" ht="16" x14ac:dyDescent="0.2">
      <c r="D60" s="98" t="s">
        <v>65</v>
      </c>
      <c r="H60" s="99"/>
    </row>
    <row r="61" spans="1:8" s="92" customFormat="1" ht="16" x14ac:dyDescent="0.2">
      <c r="D61" s="623" t="s">
        <v>1092</v>
      </c>
      <c r="E61" s="92" t="s">
        <v>1105</v>
      </c>
      <c r="H61" s="99"/>
    </row>
    <row r="62" spans="1:8" s="92" customFormat="1" ht="16" x14ac:dyDescent="0.2">
      <c r="D62" s="623" t="s">
        <v>1106</v>
      </c>
      <c r="E62" s="92" t="s">
        <v>1107</v>
      </c>
      <c r="H62" s="99"/>
    </row>
    <row r="63" spans="1:8" s="92" customFormat="1" ht="17" thickBot="1" x14ac:dyDescent="0.25">
      <c r="D63" s="607" t="s">
        <v>1108</v>
      </c>
      <c r="E63" s="101" t="s">
        <v>1109</v>
      </c>
      <c r="F63" s="101"/>
      <c r="G63" s="101"/>
      <c r="H63" s="102"/>
    </row>
    <row r="64" spans="1:8" s="92" customFormat="1" ht="16" x14ac:dyDescent="0.2">
      <c r="D64" s="105"/>
    </row>
    <row r="65" spans="1:8" s="92" customFormat="1" ht="16" x14ac:dyDescent="0.2">
      <c r="C65" s="105" t="s">
        <v>2771</v>
      </c>
      <c r="D65" s="105" t="s">
        <v>2770</v>
      </c>
      <c r="E65" s="105" t="s">
        <v>2769</v>
      </c>
      <c r="F65" s="105" t="s">
        <v>2768</v>
      </c>
    </row>
    <row r="66" spans="1:8" s="92" customFormat="1" ht="16" x14ac:dyDescent="0.2">
      <c r="A66" s="92" t="s">
        <v>2767</v>
      </c>
      <c r="C66" s="110">
        <v>1</v>
      </c>
      <c r="D66" s="110">
        <v>0.75</v>
      </c>
      <c r="E66" s="110">
        <v>0.5</v>
      </c>
      <c r="F66" s="110">
        <v>0.25</v>
      </c>
      <c r="G66" s="110">
        <v>0</v>
      </c>
      <c r="H66" s="111"/>
    </row>
    <row r="67" spans="1:8" s="92" customFormat="1" ht="16" x14ac:dyDescent="0.2">
      <c r="A67" s="92" t="s">
        <v>1206</v>
      </c>
      <c r="D67" s="621"/>
      <c r="E67" s="621"/>
      <c r="F67" s="622" t="s">
        <v>1207</v>
      </c>
      <c r="G67" s="471">
        <v>100000</v>
      </c>
      <c r="H67" s="92" t="s">
        <v>1208</v>
      </c>
    </row>
    <row r="68" spans="1:8" s="92" customFormat="1" ht="16" x14ac:dyDescent="0.2">
      <c r="D68" s="621"/>
      <c r="E68" s="621"/>
      <c r="F68" s="621"/>
      <c r="G68" s="470">
        <v>-750</v>
      </c>
      <c r="H68" s="92" t="s">
        <v>2765</v>
      </c>
    </row>
    <row r="69" spans="1:8" s="92" customFormat="1" ht="16" x14ac:dyDescent="0.2">
      <c r="B69" s="92" t="str">
        <f ca="1">_xlfn.FORMULATEXT(C69)</f>
        <v>=-100000*(1+9%/4)^4</v>
      </c>
      <c r="C69" s="491">
        <f>-100000*(1+9%/4)^4</f>
        <v>-109308.33187890623</v>
      </c>
      <c r="D69" s="621"/>
      <c r="E69" s="621"/>
      <c r="F69" s="621"/>
      <c r="G69" s="468">
        <f>G67+G68</f>
        <v>99250</v>
      </c>
      <c r="H69" s="92" t="s">
        <v>2766</v>
      </c>
    </row>
    <row r="70" spans="1:8" s="92" customFormat="1" ht="16" x14ac:dyDescent="0.2"/>
    <row r="71" spans="1:8" s="92" customFormat="1" ht="16" x14ac:dyDescent="0.2">
      <c r="A71" s="92" t="s">
        <v>1210</v>
      </c>
    </row>
    <row r="72" spans="1:8" s="92" customFormat="1" ht="16" x14ac:dyDescent="0.2">
      <c r="A72" s="92" t="s">
        <v>1211</v>
      </c>
    </row>
    <row r="73" spans="1:8" s="92" customFormat="1" ht="16" x14ac:dyDescent="0.2">
      <c r="B73" s="92" t="s">
        <v>2772</v>
      </c>
      <c r="G73" s="92" t="s">
        <v>1104</v>
      </c>
    </row>
    <row r="74" spans="1:8" s="92" customFormat="1" ht="16" x14ac:dyDescent="0.2">
      <c r="B74" s="92" t="s">
        <v>196</v>
      </c>
      <c r="G74" s="92" t="s">
        <v>1212</v>
      </c>
    </row>
    <row r="75" spans="1:8" s="92" customFormat="1" ht="16" x14ac:dyDescent="0.2"/>
    <row r="76" spans="1:8" s="92" customFormat="1" ht="16" x14ac:dyDescent="0.2">
      <c r="A76" s="92" t="s">
        <v>2773</v>
      </c>
    </row>
    <row r="77" spans="1:8" s="92" customFormat="1" ht="16" x14ac:dyDescent="0.2">
      <c r="A77" s="92" t="s">
        <v>2774</v>
      </c>
      <c r="D77" s="92" t="s">
        <v>1091</v>
      </c>
    </row>
    <row r="78" spans="1:8" s="92" customFormat="1" ht="16" x14ac:dyDescent="0.2">
      <c r="A78" s="92" t="s">
        <v>2775</v>
      </c>
    </row>
    <row r="79" spans="1:8" s="92" customFormat="1" ht="16" x14ac:dyDescent="0.2">
      <c r="A79" s="92" t="s">
        <v>2776</v>
      </c>
    </row>
    <row r="80" spans="1:8" s="92" customFormat="1" ht="16" x14ac:dyDescent="0.2">
      <c r="A80" s="92" t="s">
        <v>2777</v>
      </c>
    </row>
    <row r="81" spans="1:8" s="92" customFormat="1" ht="16" x14ac:dyDescent="0.2">
      <c r="A81" s="92" t="s">
        <v>2778</v>
      </c>
    </row>
    <row r="82" spans="1:8" s="92" customFormat="1" ht="16" x14ac:dyDescent="0.2">
      <c r="A82" s="92" t="s">
        <v>2779</v>
      </c>
    </row>
    <row r="83" spans="1:8" s="92" customFormat="1" ht="16" x14ac:dyDescent="0.2"/>
    <row r="84" spans="1:8" s="92" customFormat="1" ht="16" x14ac:dyDescent="0.2">
      <c r="A84" s="92" t="s">
        <v>2780</v>
      </c>
    </row>
    <row r="85" spans="1:8" s="92" customFormat="1" ht="16" x14ac:dyDescent="0.2">
      <c r="A85" s="92" t="s">
        <v>2781</v>
      </c>
    </row>
    <row r="86" spans="1:8" s="92" customFormat="1" ht="16" x14ac:dyDescent="0.2">
      <c r="A86" s="92" t="s">
        <v>2782</v>
      </c>
    </row>
    <row r="87" spans="1:8" s="92" customFormat="1" ht="17" thickBot="1" x14ac:dyDescent="0.25"/>
    <row r="88" spans="1:8" s="92" customFormat="1" ht="16" x14ac:dyDescent="0.2">
      <c r="A88" s="624" t="s">
        <v>2783</v>
      </c>
      <c r="B88" s="625"/>
      <c r="C88" s="625"/>
      <c r="D88" s="625"/>
      <c r="E88" s="625"/>
      <c r="F88" s="625"/>
      <c r="G88" s="625"/>
      <c r="H88" s="626"/>
    </row>
    <row r="89" spans="1:8" s="92" customFormat="1" ht="16" x14ac:dyDescent="0.2">
      <c r="A89" s="627" t="s">
        <v>2784</v>
      </c>
      <c r="B89" s="312"/>
      <c r="C89" s="312"/>
      <c r="D89" s="312"/>
      <c r="E89" s="312"/>
      <c r="F89" s="312"/>
      <c r="G89" s="312"/>
      <c r="H89" s="628"/>
    </row>
    <row r="90" spans="1:8" s="92" customFormat="1" ht="16" x14ac:dyDescent="0.2">
      <c r="A90" s="627" t="s">
        <v>2785</v>
      </c>
      <c r="B90" s="312"/>
      <c r="C90" s="312"/>
      <c r="D90" s="312"/>
      <c r="E90" s="312"/>
      <c r="F90" s="312"/>
      <c r="G90" s="312"/>
      <c r="H90" s="628"/>
    </row>
    <row r="91" spans="1:8" s="92" customFormat="1" ht="16" x14ac:dyDescent="0.2">
      <c r="A91" s="627" t="s">
        <v>2786</v>
      </c>
      <c r="B91" s="312"/>
      <c r="C91" s="312"/>
      <c r="D91" s="312"/>
      <c r="E91" s="312"/>
      <c r="F91" s="312"/>
      <c r="G91" s="312"/>
      <c r="H91" s="628"/>
    </row>
    <row r="92" spans="1:8" s="92" customFormat="1" ht="16" x14ac:dyDescent="0.2">
      <c r="A92" s="627" t="s">
        <v>2787</v>
      </c>
      <c r="B92" s="312"/>
      <c r="C92" s="312"/>
      <c r="D92" s="312"/>
      <c r="E92" s="312"/>
      <c r="F92" s="312"/>
      <c r="G92" s="312"/>
      <c r="H92" s="628"/>
    </row>
    <row r="93" spans="1:8" s="92" customFormat="1" ht="17" thickBot="1" x14ac:dyDescent="0.25">
      <c r="A93" s="629"/>
      <c r="B93" s="630"/>
      <c r="C93" s="630"/>
      <c r="D93" s="630"/>
      <c r="E93" s="630"/>
      <c r="F93" s="630"/>
      <c r="G93" s="630"/>
      <c r="H93" s="631" t="s">
        <v>1104</v>
      </c>
    </row>
    <row r="94" spans="1:8" s="92" customFormat="1" ht="16" x14ac:dyDescent="0.2"/>
    <row r="95" spans="1:8" s="92" customFormat="1" ht="16" x14ac:dyDescent="0.2">
      <c r="A95" s="129" t="s">
        <v>2741</v>
      </c>
      <c r="B95" s="129"/>
      <c r="C95" s="129"/>
      <c r="D95" s="129"/>
      <c r="E95" s="129" t="s">
        <v>805</v>
      </c>
      <c r="F95" s="129"/>
      <c r="G95" s="129"/>
      <c r="H95" s="129"/>
    </row>
    <row r="96" spans="1:8" s="92" customFormat="1" ht="16" x14ac:dyDescent="0.2">
      <c r="A96" s="92" t="s">
        <v>1214</v>
      </c>
    </row>
    <row r="97" spans="1:8" s="92" customFormat="1" ht="16" x14ac:dyDescent="0.2">
      <c r="A97" s="92" t="s">
        <v>1215</v>
      </c>
    </row>
    <row r="98" spans="1:8" s="92" customFormat="1" ht="16" x14ac:dyDescent="0.2"/>
    <row r="99" spans="1:8" s="92" customFormat="1" ht="16" x14ac:dyDescent="0.2">
      <c r="A99" s="92" t="s">
        <v>1216</v>
      </c>
    </row>
    <row r="100" spans="1:8" s="92" customFormat="1" ht="16" x14ac:dyDescent="0.2">
      <c r="A100" s="92" t="s">
        <v>1217</v>
      </c>
    </row>
    <row r="101" spans="1:8" s="92" customFormat="1" ht="16" x14ac:dyDescent="0.2"/>
    <row r="102" spans="1:8" s="92" customFormat="1" ht="16" x14ac:dyDescent="0.2">
      <c r="B102" s="110">
        <v>1</v>
      </c>
      <c r="C102" s="110"/>
      <c r="D102" s="110"/>
      <c r="E102" s="110"/>
      <c r="F102" s="110"/>
      <c r="G102" s="110">
        <v>0</v>
      </c>
    </row>
    <row r="103" spans="1:8" s="92" customFormat="1" ht="16" x14ac:dyDescent="0.2">
      <c r="B103" s="142">
        <f>-G103</f>
        <v>-100</v>
      </c>
      <c r="F103" s="92" t="s">
        <v>1218</v>
      </c>
      <c r="G103" s="105">
        <v>100</v>
      </c>
      <c r="H103" s="92" t="s">
        <v>1208</v>
      </c>
    </row>
    <row r="104" spans="1:8" s="92" customFormat="1" ht="16" x14ac:dyDescent="0.2">
      <c r="G104" s="105">
        <v>-6</v>
      </c>
      <c r="H104" s="92" t="s">
        <v>1219</v>
      </c>
    </row>
    <row r="105" spans="1:8" s="92" customFormat="1" ht="16" x14ac:dyDescent="0.2">
      <c r="G105" s="142">
        <f>G103+G104</f>
        <v>94</v>
      </c>
      <c r="H105" s="92" t="s">
        <v>1209</v>
      </c>
    </row>
    <row r="106" spans="1:8" s="92" customFormat="1" ht="16" x14ac:dyDescent="0.2"/>
    <row r="107" spans="1:8" s="92" customFormat="1" ht="16" x14ac:dyDescent="0.2">
      <c r="G107" s="92" t="s">
        <v>1220</v>
      </c>
    </row>
    <row r="108" spans="1:8" s="92" customFormat="1" ht="16" x14ac:dyDescent="0.2"/>
    <row r="109" spans="1:8" s="92" customFormat="1" ht="16" x14ac:dyDescent="0.2">
      <c r="A109" s="92" t="s">
        <v>1221</v>
      </c>
    </row>
    <row r="110" spans="1:8" s="92" customFormat="1" ht="16" x14ac:dyDescent="0.2">
      <c r="A110" s="92" t="s">
        <v>1222</v>
      </c>
    </row>
    <row r="111" spans="1:8" s="92" customFormat="1" ht="16" x14ac:dyDescent="0.2">
      <c r="A111" s="92" t="s">
        <v>1223</v>
      </c>
    </row>
    <row r="112" spans="1:8" s="92" customFormat="1" ht="16" x14ac:dyDescent="0.2">
      <c r="A112" s="92" t="s">
        <v>1224</v>
      </c>
    </row>
    <row r="113" spans="1:8" s="92" customFormat="1" ht="16" x14ac:dyDescent="0.2"/>
    <row r="114" spans="1:8" s="92" customFormat="1" ht="15" customHeight="1" x14ac:dyDescent="0.2">
      <c r="A114" s="129" t="s">
        <v>1285</v>
      </c>
      <c r="B114" s="129"/>
      <c r="C114" s="129"/>
      <c r="D114" s="129"/>
      <c r="E114" s="129" t="s">
        <v>805</v>
      </c>
      <c r="F114" s="129"/>
      <c r="G114" s="129"/>
      <c r="H114" s="129"/>
    </row>
    <row r="115" spans="1:8" s="92" customFormat="1" ht="16" x14ac:dyDescent="0.2">
      <c r="A115" s="92" t="s">
        <v>1226</v>
      </c>
    </row>
    <row r="116" spans="1:8" s="92" customFormat="1" ht="16" x14ac:dyDescent="0.2">
      <c r="A116" s="92" t="s">
        <v>1227</v>
      </c>
    </row>
    <row r="117" spans="1:8" s="92" customFormat="1" ht="16" x14ac:dyDescent="0.2">
      <c r="A117" s="92" t="s">
        <v>1228</v>
      </c>
    </row>
    <row r="118" spans="1:8" s="92" customFormat="1" ht="16" x14ac:dyDescent="0.2">
      <c r="A118" s="92" t="s">
        <v>1229</v>
      </c>
    </row>
    <row r="119" spans="1:8" s="92" customFormat="1" ht="16" x14ac:dyDescent="0.2"/>
    <row r="120" spans="1:8" s="92" customFormat="1" ht="16" x14ac:dyDescent="0.2">
      <c r="A120" s="92" t="s">
        <v>1230</v>
      </c>
      <c r="G120" s="92" t="s">
        <v>1091</v>
      </c>
    </row>
    <row r="121" spans="1:8" s="92" customFormat="1" ht="16" x14ac:dyDescent="0.2"/>
    <row r="122" spans="1:8" s="92" customFormat="1" ht="16" x14ac:dyDescent="0.2">
      <c r="A122" s="92" t="s">
        <v>65</v>
      </c>
    </row>
    <row r="123" spans="1:8" s="92" customFormat="1" ht="16" x14ac:dyDescent="0.2">
      <c r="A123" s="105" t="s">
        <v>1092</v>
      </c>
      <c r="B123" s="92" t="s">
        <v>1093</v>
      </c>
    </row>
    <row r="124" spans="1:8" s="92" customFormat="1" ht="16" x14ac:dyDescent="0.2">
      <c r="A124" s="105" t="s">
        <v>1087</v>
      </c>
      <c r="B124" s="92" t="s">
        <v>1094</v>
      </c>
    </row>
    <row r="125" spans="1:8" s="92" customFormat="1" ht="16" x14ac:dyDescent="0.2">
      <c r="A125" s="105" t="s">
        <v>69</v>
      </c>
      <c r="B125" s="92" t="s">
        <v>1095</v>
      </c>
    </row>
    <row r="126" spans="1:8" s="92" customFormat="1" ht="16" x14ac:dyDescent="0.2">
      <c r="A126" s="105" t="s">
        <v>1096</v>
      </c>
      <c r="B126" s="92" t="s">
        <v>1097</v>
      </c>
    </row>
    <row r="127" spans="1:8" s="92" customFormat="1" ht="16" x14ac:dyDescent="0.2"/>
    <row r="128" spans="1:8" s="92" customFormat="1" ht="16" x14ac:dyDescent="0.2">
      <c r="A128" s="92" t="s">
        <v>1231</v>
      </c>
    </row>
    <row r="129" spans="1:8" s="92" customFormat="1" ht="16" x14ac:dyDescent="0.2">
      <c r="A129" s="105" t="s">
        <v>709</v>
      </c>
      <c r="G129" s="92" t="s">
        <v>1232</v>
      </c>
    </row>
    <row r="130" spans="1:8" s="92" customFormat="1" ht="16" x14ac:dyDescent="0.2">
      <c r="A130" s="105" t="s">
        <v>710</v>
      </c>
      <c r="G130" s="92" t="s">
        <v>1233</v>
      </c>
    </row>
    <row r="131" spans="1:8" s="92" customFormat="1" ht="16" x14ac:dyDescent="0.2">
      <c r="A131" s="105" t="s">
        <v>1234</v>
      </c>
      <c r="G131" s="92" t="s">
        <v>1235</v>
      </c>
    </row>
    <row r="132" spans="1:8" s="92" customFormat="1" ht="16" x14ac:dyDescent="0.2"/>
    <row r="133" spans="1:8" s="92" customFormat="1" ht="16" x14ac:dyDescent="0.2">
      <c r="A133" s="129" t="s">
        <v>753</v>
      </c>
      <c r="B133" s="129"/>
      <c r="C133" s="129"/>
      <c r="D133" s="143"/>
      <c r="E133" s="129" t="s">
        <v>805</v>
      </c>
      <c r="F133" s="129"/>
      <c r="G133" s="129"/>
      <c r="H133" s="129"/>
    </row>
    <row r="134" spans="1:8" s="92" customFormat="1" ht="16" x14ac:dyDescent="0.2">
      <c r="A134" s="92" t="s">
        <v>1237</v>
      </c>
    </row>
    <row r="135" spans="1:8" s="92" customFormat="1" ht="16" x14ac:dyDescent="0.2">
      <c r="A135" s="92" t="s">
        <v>1238</v>
      </c>
    </row>
    <row r="136" spans="1:8" s="92" customFormat="1" ht="16" x14ac:dyDescent="0.2"/>
    <row r="137" spans="1:8" s="92" customFormat="1" ht="16" x14ac:dyDescent="0.2">
      <c r="A137" s="92" t="s">
        <v>1230</v>
      </c>
      <c r="G137" s="92" t="s">
        <v>1091</v>
      </c>
    </row>
    <row r="138" spans="1:8" s="92" customFormat="1" ht="16" x14ac:dyDescent="0.2"/>
    <row r="139" spans="1:8" s="92" customFormat="1" ht="16" x14ac:dyDescent="0.2">
      <c r="A139" s="92" t="s">
        <v>65</v>
      </c>
    </row>
    <row r="140" spans="1:8" s="92" customFormat="1" ht="16" x14ac:dyDescent="0.2">
      <c r="A140" s="105" t="s">
        <v>1092</v>
      </c>
      <c r="B140" s="92" t="s">
        <v>1093</v>
      </c>
    </row>
    <row r="141" spans="1:8" s="92" customFormat="1" ht="16" x14ac:dyDescent="0.2">
      <c r="A141" s="105" t="s">
        <v>1087</v>
      </c>
      <c r="B141" s="92" t="s">
        <v>1094</v>
      </c>
    </row>
    <row r="142" spans="1:8" s="92" customFormat="1" ht="16" x14ac:dyDescent="0.2">
      <c r="A142" s="105" t="s">
        <v>69</v>
      </c>
      <c r="B142" s="92" t="s">
        <v>1095</v>
      </c>
    </row>
    <row r="143" spans="1:8" s="92" customFormat="1" ht="16" x14ac:dyDescent="0.2">
      <c r="A143" s="105" t="s">
        <v>1096</v>
      </c>
      <c r="B143" s="92" t="s">
        <v>1097</v>
      </c>
    </row>
    <row r="144" spans="1:8" s="92" customFormat="1" ht="16" x14ac:dyDescent="0.2"/>
    <row r="145" spans="1:8" s="92" customFormat="1" ht="16" x14ac:dyDescent="0.2">
      <c r="A145" s="92" t="s">
        <v>1239</v>
      </c>
      <c r="E145" s="134">
        <f>1.01^6-1</f>
        <v>6.1520150601000134E-2</v>
      </c>
      <c r="G145" s="92" t="s">
        <v>1240</v>
      </c>
    </row>
    <row r="146" spans="1:8" s="92" customFormat="1" ht="16" x14ac:dyDescent="0.2"/>
    <row r="147" spans="1:8" s="92" customFormat="1" ht="16" x14ac:dyDescent="0.2">
      <c r="A147" s="92" t="s">
        <v>1241</v>
      </c>
    </row>
    <row r="148" spans="1:8" s="92" customFormat="1" ht="16" x14ac:dyDescent="0.2">
      <c r="A148" s="92" t="s">
        <v>1242</v>
      </c>
    </row>
    <row r="149" spans="1:8" s="92" customFormat="1" ht="16" x14ac:dyDescent="0.2">
      <c r="A149" s="92" t="s">
        <v>1243</v>
      </c>
    </row>
    <row r="150" spans="1:8" s="92" customFormat="1" ht="16" x14ac:dyDescent="0.2"/>
    <row r="151" spans="1:8" s="92" customFormat="1" ht="16" x14ac:dyDescent="0.2"/>
    <row r="152" spans="1:8" s="92" customFormat="1" ht="16" x14ac:dyDescent="0.2">
      <c r="A152" s="129" t="s">
        <v>2788</v>
      </c>
      <c r="B152" s="129"/>
      <c r="C152" s="129"/>
      <c r="D152" s="129"/>
      <c r="E152" s="129"/>
      <c r="F152" s="129"/>
      <c r="G152" s="129"/>
      <c r="H152" s="129"/>
    </row>
    <row r="153" spans="1:8" s="92" customFormat="1" ht="16" x14ac:dyDescent="0.2">
      <c r="A153" s="92" t="s">
        <v>2792</v>
      </c>
    </row>
    <row r="154" spans="1:8" s="92" customFormat="1" ht="16" x14ac:dyDescent="0.2"/>
    <row r="155" spans="1:8" s="92" customFormat="1" ht="16" x14ac:dyDescent="0.2">
      <c r="A155" s="92" t="s">
        <v>111</v>
      </c>
    </row>
    <row r="156" spans="1:8" s="92" customFormat="1" ht="16" x14ac:dyDescent="0.2">
      <c r="A156" s="92" t="s">
        <v>2789</v>
      </c>
    </row>
    <row r="157" spans="1:8" s="92" customFormat="1" ht="16" x14ac:dyDescent="0.2">
      <c r="A157" s="92" t="s">
        <v>2790</v>
      </c>
    </row>
    <row r="158" spans="1:8" s="92" customFormat="1" ht="16" x14ac:dyDescent="0.2">
      <c r="A158" s="92" t="s">
        <v>2791</v>
      </c>
    </row>
    <row r="159" spans="1:8" s="92" customFormat="1" ht="17" thickBot="1" x14ac:dyDescent="0.25"/>
    <row r="160" spans="1:8" s="92" customFormat="1" ht="17" thickBot="1" x14ac:dyDescent="0.25">
      <c r="A160" s="124" t="s">
        <v>1098</v>
      </c>
      <c r="B160" s="125"/>
      <c r="C160" s="125"/>
      <c r="D160" s="125"/>
      <c r="E160" s="125"/>
      <c r="F160" s="125"/>
      <c r="G160" s="125"/>
      <c r="H160" s="126"/>
    </row>
    <row r="161" spans="1:6" s="92" customFormat="1" ht="16" x14ac:dyDescent="0.2"/>
    <row r="162" spans="1:6" s="92" customFormat="1" ht="16" x14ac:dyDescent="0.2">
      <c r="E162" s="92" t="s">
        <v>1099</v>
      </c>
    </row>
    <row r="163" spans="1:6" s="92" customFormat="1" ht="16" x14ac:dyDescent="0.2">
      <c r="A163" s="92" t="s">
        <v>65</v>
      </c>
    </row>
    <row r="164" spans="1:6" s="92" customFormat="1" ht="16" x14ac:dyDescent="0.2">
      <c r="A164" s="105" t="s">
        <v>1092</v>
      </c>
      <c r="B164" s="92" t="s">
        <v>1100</v>
      </c>
    </row>
    <row r="165" spans="1:6" s="92" customFormat="1" ht="16" x14ac:dyDescent="0.2">
      <c r="A165" s="105" t="s">
        <v>67</v>
      </c>
      <c r="B165" s="92" t="s">
        <v>1101</v>
      </c>
    </row>
    <row r="166" spans="1:6" s="92" customFormat="1" ht="16" x14ac:dyDescent="0.2">
      <c r="A166" s="105" t="s">
        <v>1096</v>
      </c>
      <c r="B166" s="92" t="s">
        <v>1102</v>
      </c>
    </row>
    <row r="167" spans="1:6" s="92" customFormat="1" ht="16" x14ac:dyDescent="0.2"/>
    <row r="168" spans="1:6" s="92" customFormat="1" ht="16" x14ac:dyDescent="0.2">
      <c r="A168" s="92" t="s">
        <v>1244</v>
      </c>
    </row>
    <row r="169" spans="1:6" s="92" customFormat="1" ht="16" x14ac:dyDescent="0.2"/>
    <row r="170" spans="1:6" s="92" customFormat="1" ht="16" x14ac:dyDescent="0.2">
      <c r="B170" s="632">
        <f>(1+9.5%)^(1/12)-1</f>
        <v>7.5915342905825689E-3</v>
      </c>
      <c r="F170" s="92" t="s">
        <v>2793</v>
      </c>
    </row>
    <row r="171" spans="1:6" s="92" customFormat="1" ht="16" x14ac:dyDescent="0.2"/>
    <row r="172" spans="1:6" s="92" customFormat="1" ht="16" x14ac:dyDescent="0.2">
      <c r="A172" s="92" t="s">
        <v>867</v>
      </c>
    </row>
    <row r="173" spans="1:6" s="92" customFormat="1" ht="16" x14ac:dyDescent="0.2">
      <c r="A173" s="92" t="s">
        <v>2794</v>
      </c>
    </row>
    <row r="174" spans="1:6" s="92" customFormat="1" ht="16" x14ac:dyDescent="0.2">
      <c r="A174" s="92" t="s">
        <v>2795</v>
      </c>
    </row>
    <row r="175" spans="1:6" s="92" customFormat="1" ht="16" x14ac:dyDescent="0.2">
      <c r="A175" s="92" t="s">
        <v>2796</v>
      </c>
    </row>
    <row r="176" spans="1:6" s="92" customFormat="1" ht="16" x14ac:dyDescent="0.2"/>
    <row r="177" spans="1:10" s="92" customFormat="1" ht="16" x14ac:dyDescent="0.2"/>
    <row r="178" spans="1:10" s="92" customFormat="1" ht="16" x14ac:dyDescent="0.2">
      <c r="A178" s="129" t="s">
        <v>2742</v>
      </c>
      <c r="B178" s="129"/>
      <c r="C178" s="129"/>
      <c r="D178" s="129"/>
      <c r="E178" s="129"/>
      <c r="F178" s="129"/>
      <c r="G178" s="129"/>
      <c r="H178" s="129"/>
    </row>
    <row r="179" spans="1:10" s="92" customFormat="1" ht="16" x14ac:dyDescent="0.2">
      <c r="A179" s="92" t="s">
        <v>1245</v>
      </c>
    </row>
    <row r="180" spans="1:10" s="92" customFormat="1" ht="16" x14ac:dyDescent="0.2">
      <c r="A180" s="92" t="s">
        <v>1246</v>
      </c>
    </row>
    <row r="181" spans="1:10" s="92" customFormat="1" ht="16" x14ac:dyDescent="0.2">
      <c r="A181" s="92" t="s">
        <v>1247</v>
      </c>
    </row>
    <row r="182" spans="1:10" s="92" customFormat="1" ht="16" x14ac:dyDescent="0.2">
      <c r="A182" s="92" t="s">
        <v>1248</v>
      </c>
    </row>
    <row r="183" spans="1:10" s="92" customFormat="1" ht="16" x14ac:dyDescent="0.2">
      <c r="A183" s="92" t="s">
        <v>1249</v>
      </c>
    </row>
    <row r="184" spans="1:10" s="92" customFormat="1" ht="16" x14ac:dyDescent="0.2"/>
    <row r="185" spans="1:10" s="92" customFormat="1" ht="16" x14ac:dyDescent="0.2">
      <c r="A185" s="93" t="s">
        <v>1250</v>
      </c>
    </row>
    <row r="186" spans="1:10" s="92" customFormat="1" ht="16" x14ac:dyDescent="0.2">
      <c r="A186" s="93" t="s">
        <v>1251</v>
      </c>
    </row>
    <row r="187" spans="1:10" s="92" customFormat="1" ht="16" x14ac:dyDescent="0.2">
      <c r="A187" s="93" t="s">
        <v>1252</v>
      </c>
    </row>
    <row r="188" spans="1:10" s="92" customFormat="1" ht="16" x14ac:dyDescent="0.2"/>
    <row r="189" spans="1:10" s="92" customFormat="1" ht="16" x14ac:dyDescent="0.2"/>
    <row r="190" spans="1:10" s="92" customFormat="1" ht="16" x14ac:dyDescent="0.2">
      <c r="B190" s="110">
        <v>1</v>
      </c>
      <c r="C190" s="110"/>
      <c r="D190" s="110"/>
      <c r="E190" s="110"/>
      <c r="F190" s="110"/>
      <c r="G190" s="110">
        <v>0</v>
      </c>
    </row>
    <row r="191" spans="1:10" s="92" customFormat="1" ht="16" x14ac:dyDescent="0.2">
      <c r="A191" s="92" t="s">
        <v>1253</v>
      </c>
      <c r="B191" s="491">
        <f>-200000*1.09</f>
        <v>-218000.00000000003</v>
      </c>
      <c r="C191" s="614"/>
      <c r="D191" s="307" t="s">
        <v>1296</v>
      </c>
      <c r="E191" s="307" t="s">
        <v>2804</v>
      </c>
      <c r="F191" s="614"/>
      <c r="G191" s="471">
        <v>200000</v>
      </c>
      <c r="H191" s="92" t="s">
        <v>1254</v>
      </c>
    </row>
    <row r="192" spans="1:10" s="92" customFormat="1" ht="16" x14ac:dyDescent="0.2">
      <c r="A192" s="92" t="s">
        <v>1255</v>
      </c>
      <c r="B192" s="614"/>
      <c r="C192" s="614"/>
      <c r="D192" s="614"/>
      <c r="E192" s="614"/>
      <c r="F192" s="614"/>
      <c r="G192" s="470">
        <f>-1.5%*G191</f>
        <v>-3000</v>
      </c>
      <c r="H192" s="92" t="s">
        <v>2798</v>
      </c>
      <c r="J192" s="92" t="s">
        <v>2797</v>
      </c>
    </row>
    <row r="193" spans="1:13" s="92" customFormat="1" ht="16" x14ac:dyDescent="0.2">
      <c r="B193" s="614"/>
      <c r="C193" s="614"/>
      <c r="D193" s="614"/>
      <c r="E193" s="614"/>
      <c r="F193" s="614"/>
      <c r="G193" s="468">
        <f>G191+G192</f>
        <v>197000</v>
      </c>
      <c r="H193" s="92" t="s">
        <v>1256</v>
      </c>
      <c r="I193" s="92" t="s">
        <v>2799</v>
      </c>
    </row>
    <row r="194" spans="1:13" s="92" customFormat="1" ht="17" thickBot="1" x14ac:dyDescent="0.25"/>
    <row r="195" spans="1:13" s="307" customFormat="1" ht="16" x14ac:dyDescent="0.2">
      <c r="A195" s="637" t="s">
        <v>2807</v>
      </c>
      <c r="J195" s="307" t="s">
        <v>2800</v>
      </c>
    </row>
    <row r="196" spans="1:13" s="307" customFormat="1" ht="16" x14ac:dyDescent="0.2">
      <c r="A196" s="708">
        <v>0.106599</v>
      </c>
      <c r="B196" s="710" t="s">
        <v>2806</v>
      </c>
      <c r="C196" s="633">
        <f>-B191</f>
        <v>218000.00000000003</v>
      </c>
      <c r="D196" s="710" t="s">
        <v>1258</v>
      </c>
      <c r="E196" s="710">
        <v>-1</v>
      </c>
      <c r="F196" s="633" t="s">
        <v>2805</v>
      </c>
      <c r="G196" s="710" t="s">
        <v>1259</v>
      </c>
      <c r="I196" s="307" t="s">
        <v>2165</v>
      </c>
      <c r="J196" s="307" t="s">
        <v>2801</v>
      </c>
    </row>
    <row r="197" spans="1:13" s="307" customFormat="1" ht="17" thickBot="1" x14ac:dyDescent="0.25">
      <c r="A197" s="709"/>
      <c r="B197" s="710"/>
      <c r="C197" s="634">
        <f>G193</f>
        <v>197000</v>
      </c>
      <c r="D197" s="710"/>
      <c r="E197" s="710"/>
      <c r="F197" s="635" t="s">
        <v>1108</v>
      </c>
      <c r="G197" s="710"/>
      <c r="I197" s="636" t="s">
        <v>2803</v>
      </c>
      <c r="J197" s="636" t="s">
        <v>2802</v>
      </c>
      <c r="K197" s="636"/>
      <c r="L197" s="636"/>
      <c r="M197" s="636"/>
    </row>
    <row r="198" spans="1:13" s="307" customFormat="1" ht="16" x14ac:dyDescent="0.2"/>
    <row r="199" spans="1:13" s="307" customFormat="1" ht="16" x14ac:dyDescent="0.2">
      <c r="A199" s="307" t="s">
        <v>1261</v>
      </c>
    </row>
    <row r="200" spans="1:13" s="307" customFormat="1" ht="16" x14ac:dyDescent="0.2">
      <c r="A200" s="307" t="s">
        <v>1262</v>
      </c>
    </row>
    <row r="201" spans="1:13" s="307" customFormat="1" ht="16" x14ac:dyDescent="0.2"/>
    <row r="202" spans="1:13" s="307" customFormat="1" ht="16" x14ac:dyDescent="0.2">
      <c r="A202" s="307" t="s">
        <v>2808</v>
      </c>
    </row>
    <row r="203" spans="1:13" s="307" customFormat="1" ht="16" x14ac:dyDescent="0.2">
      <c r="A203" s="307" t="s">
        <v>2809</v>
      </c>
    </row>
    <row r="204" spans="1:13" s="307" customFormat="1" ht="16" x14ac:dyDescent="0.2">
      <c r="F204" s="307" t="s">
        <v>2810</v>
      </c>
    </row>
    <row r="205" spans="1:13" s="307" customFormat="1" ht="16" x14ac:dyDescent="0.2"/>
    <row r="206" spans="1:13" s="307" customFormat="1" ht="16" x14ac:dyDescent="0.2"/>
    <row r="207" spans="1:13" s="92" customFormat="1" ht="16" x14ac:dyDescent="0.2">
      <c r="A207" s="129" t="s">
        <v>1213</v>
      </c>
      <c r="B207" s="129"/>
      <c r="C207" s="129"/>
      <c r="D207" s="129"/>
      <c r="E207" s="129"/>
      <c r="F207" s="129" t="s">
        <v>805</v>
      </c>
      <c r="G207" s="129"/>
      <c r="H207" s="129"/>
    </row>
    <row r="208" spans="1:13" s="92" customFormat="1" ht="16" x14ac:dyDescent="0.2">
      <c r="A208" s="92" t="s">
        <v>1265</v>
      </c>
    </row>
    <row r="209" spans="1:8" s="92" customFormat="1" ht="16" x14ac:dyDescent="0.2">
      <c r="A209" s="92" t="s">
        <v>1215</v>
      </c>
    </row>
    <row r="210" spans="1:8" s="92" customFormat="1" ht="16" x14ac:dyDescent="0.2"/>
    <row r="211" spans="1:8" s="92" customFormat="1" ht="16" x14ac:dyDescent="0.2">
      <c r="A211" s="92" t="s">
        <v>1216</v>
      </c>
    </row>
    <row r="212" spans="1:8" s="92" customFormat="1" ht="16" x14ac:dyDescent="0.2">
      <c r="A212" s="92" t="s">
        <v>1217</v>
      </c>
    </row>
    <row r="213" spans="1:8" s="92" customFormat="1" ht="16" x14ac:dyDescent="0.2"/>
    <row r="214" spans="1:8" s="92" customFormat="1" ht="16" x14ac:dyDescent="0.2">
      <c r="B214" s="110">
        <v>1</v>
      </c>
      <c r="C214" s="110"/>
      <c r="D214" s="110"/>
      <c r="E214" s="110"/>
      <c r="F214" s="110"/>
      <c r="G214" s="110">
        <v>0</v>
      </c>
    </row>
    <row r="215" spans="1:8" s="92" customFormat="1" ht="16" x14ac:dyDescent="0.2">
      <c r="B215" s="142">
        <f>-G215</f>
        <v>-100</v>
      </c>
      <c r="F215" s="92" t="s">
        <v>1218</v>
      </c>
      <c r="G215" s="105">
        <v>100</v>
      </c>
      <c r="H215" s="92" t="s">
        <v>1208</v>
      </c>
    </row>
    <row r="216" spans="1:8" s="92" customFormat="1" ht="16" x14ac:dyDescent="0.2">
      <c r="G216" s="105">
        <v>-6</v>
      </c>
      <c r="H216" s="92" t="s">
        <v>1266</v>
      </c>
    </row>
    <row r="217" spans="1:8" s="92" customFormat="1" ht="16" x14ac:dyDescent="0.2">
      <c r="G217" s="142">
        <f>G215+G216</f>
        <v>94</v>
      </c>
      <c r="H217" s="92" t="s">
        <v>1209</v>
      </c>
    </row>
    <row r="218" spans="1:8" s="92" customFormat="1" ht="16" x14ac:dyDescent="0.2"/>
    <row r="219" spans="1:8" s="92" customFormat="1" ht="16" x14ac:dyDescent="0.2">
      <c r="A219" s="92" t="s">
        <v>1267</v>
      </c>
      <c r="G219" s="92" t="s">
        <v>1268</v>
      </c>
    </row>
    <row r="220" spans="1:8" s="92" customFormat="1" ht="16" x14ac:dyDescent="0.2">
      <c r="A220" s="92" t="s">
        <v>1269</v>
      </c>
    </row>
    <row r="221" spans="1:8" s="92" customFormat="1" ht="16" x14ac:dyDescent="0.2">
      <c r="A221" s="92" t="s">
        <v>1270</v>
      </c>
    </row>
    <row r="222" spans="1:8" s="92" customFormat="1" ht="16" x14ac:dyDescent="0.2"/>
    <row r="223" spans="1:8" s="92" customFormat="1" ht="16" x14ac:dyDescent="0.2">
      <c r="A223" s="92" t="s">
        <v>1271</v>
      </c>
      <c r="G223" s="92" t="s">
        <v>1220</v>
      </c>
    </row>
    <row r="224" spans="1:8" s="92" customFormat="1" ht="16" x14ac:dyDescent="0.2"/>
    <row r="225" spans="1:8" s="92" customFormat="1" ht="16" x14ac:dyDescent="0.2">
      <c r="A225" s="92" t="s">
        <v>1221</v>
      </c>
    </row>
    <row r="226" spans="1:8" s="92" customFormat="1" ht="16" x14ac:dyDescent="0.2">
      <c r="A226" s="92" t="s">
        <v>1222</v>
      </c>
    </row>
    <row r="227" spans="1:8" s="92" customFormat="1" ht="16" x14ac:dyDescent="0.2">
      <c r="A227" s="92" t="s">
        <v>1223</v>
      </c>
    </row>
    <row r="228" spans="1:8" s="92" customFormat="1" ht="16" x14ac:dyDescent="0.2">
      <c r="A228" s="92" t="s">
        <v>1224</v>
      </c>
    </row>
    <row r="229" spans="1:8" s="92" customFormat="1" ht="16" x14ac:dyDescent="0.2"/>
    <row r="230" spans="1:8" s="92" customFormat="1" ht="15" customHeight="1" x14ac:dyDescent="0.2">
      <c r="A230" s="129" t="s">
        <v>1225</v>
      </c>
      <c r="B230" s="129"/>
      <c r="C230" s="129"/>
      <c r="D230" s="129"/>
      <c r="E230" s="129"/>
      <c r="F230" s="129" t="s">
        <v>805</v>
      </c>
      <c r="G230" s="129"/>
      <c r="H230" s="129"/>
    </row>
    <row r="231" spans="1:8" s="92" customFormat="1" ht="16" x14ac:dyDescent="0.2">
      <c r="A231" s="92" t="s">
        <v>1226</v>
      </c>
    </row>
    <row r="232" spans="1:8" s="92" customFormat="1" ht="16" x14ac:dyDescent="0.2">
      <c r="A232" s="92" t="s">
        <v>1227</v>
      </c>
    </row>
    <row r="233" spans="1:8" s="92" customFormat="1" ht="16" x14ac:dyDescent="0.2">
      <c r="A233" s="92" t="s">
        <v>1228</v>
      </c>
    </row>
    <row r="234" spans="1:8" s="92" customFormat="1" ht="16" x14ac:dyDescent="0.2">
      <c r="A234" s="92" t="s">
        <v>1229</v>
      </c>
    </row>
    <row r="235" spans="1:8" s="92" customFormat="1" ht="16" x14ac:dyDescent="0.2"/>
    <row r="236" spans="1:8" s="92" customFormat="1" ht="16" x14ac:dyDescent="0.2">
      <c r="A236" s="92" t="s">
        <v>1230</v>
      </c>
      <c r="G236" s="92" t="s">
        <v>1091</v>
      </c>
    </row>
    <row r="237" spans="1:8" s="92" customFormat="1" ht="16" x14ac:dyDescent="0.2"/>
    <row r="238" spans="1:8" s="92" customFormat="1" ht="16" x14ac:dyDescent="0.2">
      <c r="A238" s="92" t="s">
        <v>65</v>
      </c>
    </row>
    <row r="239" spans="1:8" s="92" customFormat="1" ht="16" x14ac:dyDescent="0.2">
      <c r="A239" s="105" t="s">
        <v>1092</v>
      </c>
      <c r="B239" s="92" t="s">
        <v>1093</v>
      </c>
    </row>
    <row r="240" spans="1:8" s="92" customFormat="1" ht="16" x14ac:dyDescent="0.2">
      <c r="A240" s="105" t="s">
        <v>1087</v>
      </c>
      <c r="B240" s="92" t="s">
        <v>1094</v>
      </c>
    </row>
    <row r="241" spans="1:8" s="92" customFormat="1" ht="16" x14ac:dyDescent="0.2">
      <c r="A241" s="105" t="s">
        <v>69</v>
      </c>
      <c r="B241" s="92" t="s">
        <v>1095</v>
      </c>
    </row>
    <row r="242" spans="1:8" s="92" customFormat="1" ht="16" x14ac:dyDescent="0.2">
      <c r="A242" s="105" t="s">
        <v>1096</v>
      </c>
      <c r="B242" s="92" t="s">
        <v>1097</v>
      </c>
    </row>
    <row r="243" spans="1:8" s="92" customFormat="1" ht="16" x14ac:dyDescent="0.2"/>
    <row r="244" spans="1:8" s="92" customFormat="1" ht="16" x14ac:dyDescent="0.2">
      <c r="A244" s="92" t="s">
        <v>1231</v>
      </c>
    </row>
    <row r="245" spans="1:8" s="92" customFormat="1" ht="16" x14ac:dyDescent="0.2">
      <c r="A245" s="105" t="s">
        <v>709</v>
      </c>
      <c r="G245" s="92" t="s">
        <v>1232</v>
      </c>
    </row>
    <row r="246" spans="1:8" s="92" customFormat="1" ht="16" x14ac:dyDescent="0.2">
      <c r="A246" s="105" t="s">
        <v>710</v>
      </c>
      <c r="G246" s="92" t="s">
        <v>1233</v>
      </c>
    </row>
    <row r="247" spans="1:8" s="92" customFormat="1" ht="16" x14ac:dyDescent="0.2">
      <c r="A247" s="105" t="s">
        <v>1234</v>
      </c>
      <c r="G247" s="92" t="s">
        <v>1235</v>
      </c>
    </row>
    <row r="248" spans="1:8" s="92" customFormat="1" ht="17" thickBot="1" x14ac:dyDescent="0.25"/>
    <row r="249" spans="1:8" s="92" customFormat="1" ht="16" x14ac:dyDescent="0.2">
      <c r="A249" s="239" t="s">
        <v>1272</v>
      </c>
      <c r="B249" s="493"/>
      <c r="C249" s="493"/>
      <c r="D249" s="493"/>
      <c r="E249" s="493"/>
      <c r="F249" s="493"/>
      <c r="G249" s="493"/>
      <c r="H249" s="494"/>
    </row>
    <row r="250" spans="1:8" s="92" customFormat="1" ht="17" thickBot="1" x14ac:dyDescent="0.25">
      <c r="A250" s="244" t="s">
        <v>1273</v>
      </c>
      <c r="B250" s="495"/>
      <c r="C250" s="495"/>
      <c r="D250" s="495"/>
      <c r="E250" s="495"/>
      <c r="F250" s="495"/>
      <c r="G250" s="495"/>
      <c r="H250" s="496"/>
    </row>
    <row r="251" spans="1:8" s="92" customFormat="1" ht="16" x14ac:dyDescent="0.2"/>
    <row r="252" spans="1:8" s="92" customFormat="1" ht="16" x14ac:dyDescent="0.2">
      <c r="A252" s="92" t="s">
        <v>1274</v>
      </c>
    </row>
    <row r="253" spans="1:8" s="92" customFormat="1" ht="16" x14ac:dyDescent="0.2"/>
    <row r="254" spans="1:8" s="92" customFormat="1" ht="16" x14ac:dyDescent="0.2">
      <c r="A254" s="105" t="s">
        <v>1087</v>
      </c>
      <c r="B254" s="92" t="s">
        <v>1275</v>
      </c>
      <c r="G254" s="92" t="s">
        <v>1189</v>
      </c>
    </row>
    <row r="255" spans="1:8" s="92" customFormat="1" ht="16" x14ac:dyDescent="0.2">
      <c r="A255" s="105" t="s">
        <v>69</v>
      </c>
      <c r="B255" s="92" t="s">
        <v>1276</v>
      </c>
    </row>
    <row r="256" spans="1:8" s="92" customFormat="1" ht="16" x14ac:dyDescent="0.2">
      <c r="B256" s="92" t="s">
        <v>1277</v>
      </c>
    </row>
    <row r="257" spans="1:7" s="92" customFormat="1" ht="16" x14ac:dyDescent="0.2">
      <c r="A257" s="105" t="s">
        <v>1096</v>
      </c>
      <c r="B257" s="92" t="s">
        <v>1278</v>
      </c>
    </row>
    <row r="258" spans="1:7" s="92" customFormat="1" ht="16" x14ac:dyDescent="0.2">
      <c r="E258" s="497">
        <f>(1+6%/6)^3-1</f>
        <v>3.0300999999999911E-2</v>
      </c>
      <c r="G258" s="92" t="s">
        <v>1279</v>
      </c>
    </row>
    <row r="259" spans="1:7" s="92" customFormat="1" ht="16" x14ac:dyDescent="0.2"/>
    <row r="260" spans="1:7" s="92" customFormat="1" ht="16" x14ac:dyDescent="0.2">
      <c r="D260" s="92" t="s">
        <v>1280</v>
      </c>
    </row>
    <row r="261" spans="1:7" s="92" customFormat="1" ht="16" x14ac:dyDescent="0.2"/>
    <row r="262" spans="1:7" s="92" customFormat="1" ht="16" x14ac:dyDescent="0.2">
      <c r="A262" s="92" t="s">
        <v>1281</v>
      </c>
    </row>
    <row r="263" spans="1:7" s="92" customFormat="1" ht="16" x14ac:dyDescent="0.2"/>
    <row r="264" spans="1:7" s="92" customFormat="1" ht="16" x14ac:dyDescent="0.2">
      <c r="E264" s="92" t="s">
        <v>1282</v>
      </c>
    </row>
    <row r="265" spans="1:7" s="92" customFormat="1" ht="16" x14ac:dyDescent="0.2">
      <c r="G265" s="92" t="s">
        <v>1189</v>
      </c>
    </row>
    <row r="266" spans="1:7" s="92" customFormat="1" ht="16" x14ac:dyDescent="0.2">
      <c r="E266" s="497">
        <f>(1+8%/3)^12-1</f>
        <v>0.37136651622457317</v>
      </c>
      <c r="G266" s="92" t="s">
        <v>1283</v>
      </c>
    </row>
    <row r="267" spans="1:7" s="92" customFormat="1" ht="16" x14ac:dyDescent="0.2">
      <c r="A267" s="105" t="s">
        <v>1087</v>
      </c>
      <c r="B267" s="92" t="s">
        <v>1275</v>
      </c>
    </row>
    <row r="268" spans="1:7" s="92" customFormat="1" ht="16" x14ac:dyDescent="0.2">
      <c r="A268" s="105" t="s">
        <v>69</v>
      </c>
      <c r="B268" s="92" t="s">
        <v>1276</v>
      </c>
    </row>
    <row r="269" spans="1:7" s="92" customFormat="1" ht="16" x14ac:dyDescent="0.2">
      <c r="A269" s="105" t="s">
        <v>1096</v>
      </c>
      <c r="B269" s="92" t="s">
        <v>1284</v>
      </c>
    </row>
    <row r="270" spans="1:7" s="92" customFormat="1" ht="16" x14ac:dyDescent="0.2"/>
    <row r="271" spans="1:7" s="92" customFormat="1" ht="16" x14ac:dyDescent="0.2"/>
    <row r="272" spans="1:7" s="92" customFormat="1" ht="16" x14ac:dyDescent="0.2"/>
    <row r="273" spans="1:8" s="92" customFormat="1" ht="16" x14ac:dyDescent="0.2"/>
    <row r="274" spans="1:8" s="92" customFormat="1" ht="16" x14ac:dyDescent="0.2"/>
    <row r="275" spans="1:8" s="92" customFormat="1" ht="16" x14ac:dyDescent="0.2">
      <c r="A275" s="129" t="s">
        <v>2743</v>
      </c>
      <c r="B275" s="129"/>
      <c r="C275" s="129"/>
      <c r="D275" s="492" t="s">
        <v>1286</v>
      </c>
      <c r="E275" s="129"/>
      <c r="F275" s="129"/>
      <c r="G275" s="129"/>
      <c r="H275" s="129"/>
    </row>
    <row r="276" spans="1:8" s="92" customFormat="1" ht="16" x14ac:dyDescent="0.2">
      <c r="A276" s="92" t="s">
        <v>1237</v>
      </c>
    </row>
    <row r="277" spans="1:8" s="92" customFormat="1" ht="16" x14ac:dyDescent="0.2">
      <c r="A277" s="92" t="s">
        <v>1238</v>
      </c>
    </row>
    <row r="278" spans="1:8" s="92" customFormat="1" ht="16" x14ac:dyDescent="0.2"/>
    <row r="279" spans="1:8" s="92" customFormat="1" ht="16" x14ac:dyDescent="0.2">
      <c r="A279" s="92" t="s">
        <v>1230</v>
      </c>
      <c r="G279" s="92" t="s">
        <v>1091</v>
      </c>
    </row>
    <row r="280" spans="1:8" s="92" customFormat="1" ht="16" x14ac:dyDescent="0.2"/>
    <row r="281" spans="1:8" s="92" customFormat="1" ht="16" x14ac:dyDescent="0.2">
      <c r="A281" s="92" t="s">
        <v>65</v>
      </c>
    </row>
    <row r="282" spans="1:8" s="92" customFormat="1" ht="16" x14ac:dyDescent="0.2">
      <c r="A282" s="105" t="s">
        <v>1092</v>
      </c>
      <c r="B282" s="92" t="s">
        <v>1093</v>
      </c>
    </row>
    <row r="283" spans="1:8" s="92" customFormat="1" ht="16" x14ac:dyDescent="0.2">
      <c r="A283" s="105" t="s">
        <v>1087</v>
      </c>
      <c r="B283" s="92" t="s">
        <v>1094</v>
      </c>
    </row>
    <row r="284" spans="1:8" s="92" customFormat="1" ht="16" x14ac:dyDescent="0.2">
      <c r="A284" s="105" t="s">
        <v>69</v>
      </c>
      <c r="B284" s="92" t="s">
        <v>1095</v>
      </c>
    </row>
    <row r="285" spans="1:8" s="92" customFormat="1" ht="16" x14ac:dyDescent="0.2">
      <c r="A285" s="105" t="s">
        <v>1096</v>
      </c>
      <c r="B285" s="92" t="s">
        <v>1097</v>
      </c>
    </row>
    <row r="286" spans="1:8" s="92" customFormat="1" ht="16" x14ac:dyDescent="0.2"/>
    <row r="287" spans="1:8" s="92" customFormat="1" ht="16" x14ac:dyDescent="0.2">
      <c r="A287" s="92" t="s">
        <v>1239</v>
      </c>
      <c r="E287" s="134">
        <f>1.01^6-1</f>
        <v>6.1520150601000134E-2</v>
      </c>
      <c r="G287" s="92" t="s">
        <v>1240</v>
      </c>
    </row>
    <row r="288" spans="1:8" s="92" customFormat="1" ht="16" x14ac:dyDescent="0.2"/>
    <row r="289" spans="1:8" s="92" customFormat="1" ht="16" x14ac:dyDescent="0.2">
      <c r="A289" s="92" t="s">
        <v>1241</v>
      </c>
    </row>
    <row r="290" spans="1:8" s="92" customFormat="1" ht="16" x14ac:dyDescent="0.2">
      <c r="A290" s="92" t="s">
        <v>1242</v>
      </c>
    </row>
    <row r="291" spans="1:8" s="92" customFormat="1" ht="16" x14ac:dyDescent="0.2">
      <c r="A291" s="92" t="s">
        <v>1243</v>
      </c>
    </row>
    <row r="292" spans="1:8" s="92" customFormat="1" ht="16" x14ac:dyDescent="0.2"/>
    <row r="293" spans="1:8" s="92" customFormat="1" ht="16" x14ac:dyDescent="0.2"/>
    <row r="294" spans="1:8" s="92" customFormat="1" ht="16" x14ac:dyDescent="0.2">
      <c r="A294" s="129" t="s">
        <v>2744</v>
      </c>
      <c r="B294" s="129"/>
      <c r="C294" s="129"/>
      <c r="D294" s="129"/>
      <c r="E294" s="129"/>
      <c r="F294" s="129" t="s">
        <v>805</v>
      </c>
      <c r="G294" s="129"/>
      <c r="H294" s="129"/>
    </row>
    <row r="295" spans="1:8" s="92" customFormat="1" ht="16" x14ac:dyDescent="0.2">
      <c r="A295" s="92" t="s">
        <v>1287</v>
      </c>
    </row>
    <row r="296" spans="1:8" s="92" customFormat="1" ht="16" x14ac:dyDescent="0.2"/>
    <row r="297" spans="1:8" s="92" customFormat="1" ht="16" x14ac:dyDescent="0.2">
      <c r="A297" s="93" t="s">
        <v>1288</v>
      </c>
    </row>
    <row r="298" spans="1:8" s="92" customFormat="1" ht="16" x14ac:dyDescent="0.2">
      <c r="G298" s="105" t="s">
        <v>67</v>
      </c>
      <c r="H298" s="92" t="s">
        <v>1289</v>
      </c>
    </row>
    <row r="299" spans="1:8" s="92" customFormat="1" ht="16" x14ac:dyDescent="0.2">
      <c r="F299" s="92" t="s">
        <v>1290</v>
      </c>
      <c r="G299" s="105" t="s">
        <v>1096</v>
      </c>
      <c r="H299" s="92" t="s">
        <v>1291</v>
      </c>
    </row>
    <row r="300" spans="1:8" s="92" customFormat="1" ht="16" x14ac:dyDescent="0.2">
      <c r="G300" s="105" t="s">
        <v>1092</v>
      </c>
      <c r="H300" s="92" t="s">
        <v>1292</v>
      </c>
    </row>
    <row r="301" spans="1:8" s="92" customFormat="1" ht="16" x14ac:dyDescent="0.2">
      <c r="A301" s="92" t="s">
        <v>1293</v>
      </c>
    </row>
    <row r="302" spans="1:8" s="92" customFormat="1" ht="16" x14ac:dyDescent="0.2">
      <c r="B302" s="92" t="s">
        <v>1294</v>
      </c>
    </row>
    <row r="303" spans="1:8" s="92" customFormat="1" ht="16" x14ac:dyDescent="0.2">
      <c r="B303" s="92" t="s">
        <v>1295</v>
      </c>
    </row>
    <row r="304" spans="1:8" s="92" customFormat="1" ht="16" x14ac:dyDescent="0.2"/>
    <row r="305" spans="1:8" s="92" customFormat="1" ht="16" x14ac:dyDescent="0.2">
      <c r="A305" s="129" t="s">
        <v>2745</v>
      </c>
      <c r="B305" s="129"/>
      <c r="C305" s="129"/>
      <c r="D305" s="129"/>
      <c r="E305" s="129"/>
      <c r="F305" s="129"/>
      <c r="G305" s="129" t="s">
        <v>2811</v>
      </c>
      <c r="H305" s="129"/>
    </row>
    <row r="306" spans="1:8" s="92" customFormat="1" ht="16" x14ac:dyDescent="0.2">
      <c r="A306" s="92" t="s">
        <v>1245</v>
      </c>
    </row>
    <row r="307" spans="1:8" s="92" customFormat="1" ht="16" x14ac:dyDescent="0.2">
      <c r="A307" s="92" t="s">
        <v>1246</v>
      </c>
    </row>
    <row r="308" spans="1:8" s="92" customFormat="1" ht="16" x14ac:dyDescent="0.2">
      <c r="A308" s="92" t="s">
        <v>1247</v>
      </c>
    </row>
    <row r="309" spans="1:8" s="92" customFormat="1" ht="16" x14ac:dyDescent="0.2">
      <c r="A309" s="92" t="s">
        <v>1248</v>
      </c>
    </row>
    <row r="310" spans="1:8" s="92" customFormat="1" ht="16" x14ac:dyDescent="0.2">
      <c r="A310" s="92" t="s">
        <v>1249</v>
      </c>
    </row>
    <row r="311" spans="1:8" s="92" customFormat="1" ht="16" x14ac:dyDescent="0.2"/>
    <row r="312" spans="1:8" s="92" customFormat="1" ht="16" x14ac:dyDescent="0.2">
      <c r="A312" s="93" t="s">
        <v>1250</v>
      </c>
    </row>
    <row r="313" spans="1:8" s="92" customFormat="1" ht="16" x14ac:dyDescent="0.2">
      <c r="A313" s="93" t="s">
        <v>1251</v>
      </c>
    </row>
    <row r="314" spans="1:8" s="92" customFormat="1" ht="16" x14ac:dyDescent="0.2">
      <c r="A314" s="93" t="s">
        <v>1252</v>
      </c>
    </row>
    <row r="315" spans="1:8" s="92" customFormat="1" ht="16" x14ac:dyDescent="0.2"/>
    <row r="316" spans="1:8" s="92" customFormat="1" ht="16" x14ac:dyDescent="0.2"/>
    <row r="317" spans="1:8" s="92" customFormat="1" ht="17" thickBot="1" x14ac:dyDescent="0.25">
      <c r="B317" s="105">
        <v>1</v>
      </c>
      <c r="C317" s="110"/>
      <c r="D317" s="110"/>
      <c r="E317" s="110"/>
      <c r="F317" s="110"/>
      <c r="G317" s="110">
        <v>0</v>
      </c>
    </row>
    <row r="318" spans="1:8" s="92" customFormat="1" ht="17" thickBot="1" x14ac:dyDescent="0.25">
      <c r="A318" s="92" t="s">
        <v>1253</v>
      </c>
      <c r="B318" s="498">
        <f>-200000*1.09</f>
        <v>-218000.00000000003</v>
      </c>
      <c r="D318" s="92" t="s">
        <v>1296</v>
      </c>
      <c r="G318" s="112">
        <v>200000</v>
      </c>
      <c r="H318" s="92" t="s">
        <v>1297</v>
      </c>
    </row>
    <row r="319" spans="1:8" s="92" customFormat="1" ht="17" thickBot="1" x14ac:dyDescent="0.25">
      <c r="A319" s="92" t="s">
        <v>1255</v>
      </c>
      <c r="B319" s="142" t="s">
        <v>1298</v>
      </c>
      <c r="G319" s="112">
        <f>-1.5%*G318</f>
        <v>-3000</v>
      </c>
      <c r="H319" s="92" t="s">
        <v>1299</v>
      </c>
    </row>
    <row r="320" spans="1:8" s="92" customFormat="1" ht="17" thickBot="1" x14ac:dyDescent="0.25">
      <c r="G320" s="499">
        <f>G318+G319</f>
        <v>197000</v>
      </c>
      <c r="H320" s="92" t="s">
        <v>1256</v>
      </c>
    </row>
    <row r="321" spans="1:9" s="92" customFormat="1" ht="16" x14ac:dyDescent="0.2">
      <c r="G321" s="113" t="s">
        <v>1300</v>
      </c>
    </row>
    <row r="322" spans="1:9" s="92" customFormat="1" ht="16" x14ac:dyDescent="0.2">
      <c r="G322" s="142" t="s">
        <v>1301</v>
      </c>
    </row>
    <row r="323" spans="1:9" s="92" customFormat="1" ht="16" x14ac:dyDescent="0.2">
      <c r="A323" s="92" t="s">
        <v>1302</v>
      </c>
    </row>
    <row r="324" spans="1:9" s="92" customFormat="1" ht="16" x14ac:dyDescent="0.2">
      <c r="A324" s="92" t="s">
        <v>1303</v>
      </c>
    </row>
    <row r="325" spans="1:9" s="92" customFormat="1" ht="16" x14ac:dyDescent="0.2"/>
    <row r="326" spans="1:9" s="92" customFormat="1" ht="16" x14ac:dyDescent="0.2">
      <c r="A326" s="707">
        <v>0.106599</v>
      </c>
      <c r="B326" s="706" t="s">
        <v>1257</v>
      </c>
      <c r="C326" s="144">
        <f>-B318</f>
        <v>218000.00000000003</v>
      </c>
      <c r="D326" s="706" t="s">
        <v>1258</v>
      </c>
      <c r="E326" s="706">
        <v>-1</v>
      </c>
      <c r="F326" s="144" t="s">
        <v>1253</v>
      </c>
      <c r="G326" s="706" t="s">
        <v>1259</v>
      </c>
      <c r="H326" s="706" t="s">
        <v>1304</v>
      </c>
      <c r="I326" s="706"/>
    </row>
    <row r="327" spans="1:9" s="92" customFormat="1" ht="16" x14ac:dyDescent="0.2">
      <c r="A327" s="707"/>
      <c r="B327" s="706"/>
      <c r="C327" s="146">
        <f>G320</f>
        <v>197000</v>
      </c>
      <c r="D327" s="706"/>
      <c r="E327" s="706"/>
      <c r="F327" s="145" t="s">
        <v>1260</v>
      </c>
      <c r="G327" s="706"/>
      <c r="H327" s="706"/>
      <c r="I327" s="706"/>
    </row>
    <row r="328" spans="1:9" s="92" customFormat="1" ht="16" x14ac:dyDescent="0.2"/>
    <row r="329" spans="1:9" s="92" customFormat="1" ht="16" x14ac:dyDescent="0.2">
      <c r="A329" s="92" t="s">
        <v>1261</v>
      </c>
    </row>
    <row r="330" spans="1:9" s="92" customFormat="1" ht="16" x14ac:dyDescent="0.2">
      <c r="A330" s="92" t="s">
        <v>1262</v>
      </c>
    </row>
    <row r="332" spans="1:9" x14ac:dyDescent="0.2">
      <c r="A332" s="148" t="s">
        <v>1445</v>
      </c>
      <c r="B332" s="148" t="s">
        <v>1305</v>
      </c>
      <c r="C332" s="148"/>
      <c r="D332" s="148"/>
      <c r="E332" s="148"/>
      <c r="F332" s="148"/>
      <c r="G332" s="148"/>
      <c r="H332" s="148"/>
    </row>
    <row r="333" spans="1:9" x14ac:dyDescent="0.2">
      <c r="A333" s="43" t="s">
        <v>1306</v>
      </c>
    </row>
    <row r="334" spans="1:9" x14ac:dyDescent="0.2">
      <c r="A334" s="43" t="s">
        <v>1307</v>
      </c>
    </row>
    <row r="336" spans="1:9" x14ac:dyDescent="0.2">
      <c r="A336" s="43" t="s">
        <v>1308</v>
      </c>
      <c r="B336" s="43" t="s">
        <v>1309</v>
      </c>
    </row>
    <row r="337" spans="1:8" x14ac:dyDescent="0.2">
      <c r="B337" s="43" t="s">
        <v>1310</v>
      </c>
    </row>
    <row r="339" spans="1:8" x14ac:dyDescent="0.2">
      <c r="A339" s="43" t="s">
        <v>1311</v>
      </c>
      <c r="B339" s="43" t="s">
        <v>1312</v>
      </c>
    </row>
    <row r="340" spans="1:8" x14ac:dyDescent="0.2">
      <c r="B340" s="43" t="s">
        <v>1313</v>
      </c>
    </row>
    <row r="342" spans="1:8" x14ac:dyDescent="0.2">
      <c r="A342" s="44" t="s">
        <v>2812</v>
      </c>
    </row>
    <row r="343" spans="1:8" x14ac:dyDescent="0.2">
      <c r="A343" s="44"/>
    </row>
    <row r="344" spans="1:8" x14ac:dyDescent="0.2">
      <c r="A344" s="148" t="s">
        <v>1445</v>
      </c>
      <c r="B344" s="148" t="s">
        <v>1314</v>
      </c>
      <c r="C344" s="148"/>
      <c r="D344" s="148"/>
      <c r="E344" s="148"/>
      <c r="F344" s="148"/>
      <c r="G344" s="148"/>
      <c r="H344" s="148"/>
    </row>
    <row r="345" spans="1:8" x14ac:dyDescent="0.2">
      <c r="A345" s="43" t="s">
        <v>1315</v>
      </c>
    </row>
    <row r="346" spans="1:8" x14ac:dyDescent="0.2">
      <c r="A346" s="43" t="s">
        <v>1316</v>
      </c>
    </row>
    <row r="347" spans="1:8" x14ac:dyDescent="0.2">
      <c r="A347" s="44"/>
    </row>
    <row r="348" spans="1:8" x14ac:dyDescent="0.2">
      <c r="A348" s="44" t="s">
        <v>1308</v>
      </c>
      <c r="B348" s="44" t="s">
        <v>1317</v>
      </c>
      <c r="C348" s="44"/>
      <c r="D348" s="44"/>
      <c r="E348" s="44"/>
      <c r="F348" s="44"/>
      <c r="G348" s="44"/>
      <c r="H348" s="44"/>
    </row>
    <row r="349" spans="1:8" x14ac:dyDescent="0.2">
      <c r="A349" s="44"/>
      <c r="B349" s="44" t="s">
        <v>1318</v>
      </c>
      <c r="C349" s="44"/>
      <c r="D349" s="44"/>
      <c r="E349" s="44"/>
      <c r="F349" s="44"/>
      <c r="H349" s="44"/>
    </row>
    <row r="350" spans="1:8" x14ac:dyDescent="0.2">
      <c r="A350" s="44"/>
      <c r="B350" s="44" t="s">
        <v>1319</v>
      </c>
      <c r="H350" s="44" t="s">
        <v>1320</v>
      </c>
    </row>
    <row r="351" spans="1:8" x14ac:dyDescent="0.2">
      <c r="A351" s="44"/>
      <c r="B351" s="44" t="s">
        <v>1321</v>
      </c>
      <c r="H351" s="44"/>
    </row>
    <row r="352" spans="1:8" x14ac:dyDescent="0.2">
      <c r="A352" s="44"/>
      <c r="C352" s="49">
        <v>1</v>
      </c>
      <c r="D352" s="49"/>
      <c r="E352" s="49"/>
      <c r="F352" s="49"/>
      <c r="G352" s="49">
        <v>0</v>
      </c>
    </row>
    <row r="353" spans="1:9" x14ac:dyDescent="0.2">
      <c r="A353" s="44"/>
      <c r="B353" s="638" t="s">
        <v>1322</v>
      </c>
      <c r="C353" s="501">
        <f>-4000*1.005^12</f>
        <v>-4246.7112474579908</v>
      </c>
      <c r="D353" s="450"/>
      <c r="E353" s="291" t="s">
        <v>2815</v>
      </c>
      <c r="F353" s="450"/>
      <c r="G353" s="296">
        <v>4000</v>
      </c>
      <c r="H353" s="43" t="s">
        <v>1254</v>
      </c>
    </row>
    <row r="354" spans="1:9" x14ac:dyDescent="0.2">
      <c r="A354" s="44"/>
      <c r="B354" s="450"/>
      <c r="C354" s="450"/>
      <c r="D354" s="450"/>
      <c r="E354" s="450"/>
      <c r="F354" s="450" t="s">
        <v>2813</v>
      </c>
      <c r="G354" s="296">
        <f>-2%*4000</f>
        <v>-80</v>
      </c>
      <c r="H354" s="43" t="s">
        <v>1323</v>
      </c>
      <c r="I354" s="43" t="s">
        <v>2814</v>
      </c>
    </row>
    <row r="355" spans="1:9" x14ac:dyDescent="0.2">
      <c r="A355" s="44"/>
      <c r="B355" s="450"/>
      <c r="C355" s="450"/>
      <c r="D355" s="450"/>
      <c r="E355" s="450"/>
      <c r="F355" s="450"/>
      <c r="G355" s="500">
        <f>G353+G354</f>
        <v>3920</v>
      </c>
      <c r="H355" s="43" t="s">
        <v>1324</v>
      </c>
      <c r="I355" s="43" t="s">
        <v>2799</v>
      </c>
    </row>
    <row r="356" spans="1:9" x14ac:dyDescent="0.2">
      <c r="A356" s="44"/>
    </row>
    <row r="357" spans="1:9" x14ac:dyDescent="0.2">
      <c r="A357" s="43" t="s">
        <v>1325</v>
      </c>
    </row>
    <row r="358" spans="1:9" x14ac:dyDescent="0.2">
      <c r="A358" s="44"/>
      <c r="F358" s="43" t="s">
        <v>1189</v>
      </c>
    </row>
    <row r="359" spans="1:9" x14ac:dyDescent="0.2">
      <c r="A359" s="44"/>
    </row>
    <row r="360" spans="1:9" x14ac:dyDescent="0.2">
      <c r="A360" s="43" t="s">
        <v>1326</v>
      </c>
    </row>
    <row r="361" spans="1:9" x14ac:dyDescent="0.2">
      <c r="A361" s="43" t="s">
        <v>1327</v>
      </c>
    </row>
    <row r="362" spans="1:9" x14ac:dyDescent="0.2">
      <c r="A362" s="43" t="s">
        <v>1328</v>
      </c>
    </row>
    <row r="363" spans="1:9" x14ac:dyDescent="0.2">
      <c r="A363" s="44"/>
    </row>
    <row r="364" spans="1:9" x14ac:dyDescent="0.2">
      <c r="A364" s="43" t="s">
        <v>1329</v>
      </c>
    </row>
    <row r="365" spans="1:9" x14ac:dyDescent="0.2">
      <c r="A365" s="43" t="s">
        <v>1330</v>
      </c>
    </row>
    <row r="366" spans="1:9" ht="16" thickBot="1" x14ac:dyDescent="0.25">
      <c r="A366" s="44"/>
      <c r="G366" s="43" t="s">
        <v>2816</v>
      </c>
    </row>
    <row r="367" spans="1:9" ht="16" thickBot="1" x14ac:dyDescent="0.25">
      <c r="A367" s="44" t="s">
        <v>2817</v>
      </c>
      <c r="E367" s="153">
        <f>-C353/G355-1</f>
        <v>8.3344705984181422E-2</v>
      </c>
      <c r="G367" s="43" t="s">
        <v>1331</v>
      </c>
    </row>
    <row r="368" spans="1:9" x14ac:dyDescent="0.2">
      <c r="A368" s="44"/>
    </row>
    <row r="369" spans="1:8" x14ac:dyDescent="0.2">
      <c r="A369" s="43" t="s">
        <v>1332</v>
      </c>
    </row>
    <row r="370" spans="1:8" x14ac:dyDescent="0.2">
      <c r="A370" s="43" t="s">
        <v>1333</v>
      </c>
    </row>
    <row r="371" spans="1:8" x14ac:dyDescent="0.2">
      <c r="A371" s="43" t="s">
        <v>1334</v>
      </c>
    </row>
    <row r="372" spans="1:8" x14ac:dyDescent="0.2">
      <c r="C372" s="47">
        <v>1</v>
      </c>
      <c r="F372" s="47">
        <v>0</v>
      </c>
    </row>
    <row r="374" spans="1:8" x14ac:dyDescent="0.2">
      <c r="B374" s="43" t="s">
        <v>2819</v>
      </c>
      <c r="C374" s="47">
        <f>F374*1.09</f>
        <v>4360</v>
      </c>
      <c r="D374" s="47" t="s">
        <v>2820</v>
      </c>
      <c r="F374" s="48">
        <v>4000</v>
      </c>
      <c r="G374" s="43" t="s">
        <v>2799</v>
      </c>
      <c r="H374" s="43" t="s">
        <v>2818</v>
      </c>
    </row>
    <row r="376" spans="1:8" x14ac:dyDescent="0.2">
      <c r="A376" s="43" t="s">
        <v>2822</v>
      </c>
    </row>
    <row r="377" spans="1:8" x14ac:dyDescent="0.2">
      <c r="A377" s="43" t="s">
        <v>2823</v>
      </c>
    </row>
    <row r="378" spans="1:8" x14ac:dyDescent="0.2">
      <c r="G378" s="43" t="s">
        <v>2816</v>
      </c>
    </row>
    <row r="379" spans="1:8" x14ac:dyDescent="0.2">
      <c r="A379" s="43" t="s">
        <v>2824</v>
      </c>
      <c r="G379" s="43" t="s">
        <v>2821</v>
      </c>
    </row>
    <row r="380" spans="1:8" ht="16" thickBot="1" x14ac:dyDescent="0.25"/>
    <row r="381" spans="1:8" ht="16" thickBot="1" x14ac:dyDescent="0.25">
      <c r="A381" s="43" t="s">
        <v>2825</v>
      </c>
      <c r="E381" s="154">
        <v>0.09</v>
      </c>
      <c r="F381" s="43" t="s">
        <v>2826</v>
      </c>
    </row>
    <row r="383" spans="1:8" x14ac:dyDescent="0.2">
      <c r="A383" s="43" t="s">
        <v>1335</v>
      </c>
    </row>
    <row r="385" spans="1:8" x14ac:dyDescent="0.2">
      <c r="A385" s="148" t="s">
        <v>2746</v>
      </c>
      <c r="B385" s="148" t="s">
        <v>2827</v>
      </c>
      <c r="C385" s="148"/>
      <c r="D385" s="148"/>
      <c r="E385" s="148"/>
      <c r="F385" s="148"/>
      <c r="G385" s="148"/>
      <c r="H385" s="148"/>
    </row>
    <row r="386" spans="1:8" x14ac:dyDescent="0.2">
      <c r="A386" s="43" t="s">
        <v>1336</v>
      </c>
    </row>
    <row r="387" spans="1:8" x14ac:dyDescent="0.2">
      <c r="A387" s="43" t="s">
        <v>1337</v>
      </c>
    </row>
    <row r="388" spans="1:8" x14ac:dyDescent="0.2">
      <c r="A388" s="43" t="s">
        <v>1338</v>
      </c>
    </row>
    <row r="390" spans="1:8" x14ac:dyDescent="0.2">
      <c r="A390" s="43" t="s">
        <v>2829</v>
      </c>
    </row>
    <row r="392" spans="1:8" x14ac:dyDescent="0.2">
      <c r="A392" s="148" t="s">
        <v>2746</v>
      </c>
      <c r="B392" s="148" t="s">
        <v>1314</v>
      </c>
      <c r="C392" s="148"/>
      <c r="D392" s="148"/>
      <c r="E392" s="148"/>
      <c r="F392" s="148"/>
      <c r="G392" s="148"/>
      <c r="H392" s="148"/>
    </row>
    <row r="393" spans="1:8" x14ac:dyDescent="0.2">
      <c r="A393" s="43" t="s">
        <v>1339</v>
      </c>
    </row>
    <row r="394" spans="1:8" x14ac:dyDescent="0.2">
      <c r="A394" s="79" t="s">
        <v>1340</v>
      </c>
      <c r="B394" s="79"/>
      <c r="C394" s="79"/>
    </row>
    <row r="395" spans="1:8" x14ac:dyDescent="0.2">
      <c r="A395" s="43" t="s">
        <v>1341</v>
      </c>
    </row>
    <row r="396" spans="1:8" x14ac:dyDescent="0.2">
      <c r="A396" s="43" t="s">
        <v>1342</v>
      </c>
    </row>
    <row r="397" spans="1:8" x14ac:dyDescent="0.2">
      <c r="A397" s="43" t="s">
        <v>1343</v>
      </c>
    </row>
    <row r="398" spans="1:8" x14ac:dyDescent="0.2">
      <c r="A398" s="43" t="s">
        <v>1344</v>
      </c>
    </row>
    <row r="399" spans="1:8" ht="16" thickBot="1" x14ac:dyDescent="0.25"/>
    <row r="400" spans="1:8" x14ac:dyDescent="0.2">
      <c r="A400" s="324" t="s">
        <v>2828</v>
      </c>
      <c r="B400" s="214"/>
      <c r="C400" s="214"/>
      <c r="D400" s="214"/>
      <c r="E400" s="214"/>
      <c r="F400" s="214"/>
      <c r="G400" s="214"/>
      <c r="H400" s="215"/>
    </row>
    <row r="401" spans="1:8" x14ac:dyDescent="0.2">
      <c r="A401" s="242" t="s">
        <v>1345</v>
      </c>
      <c r="B401" s="79"/>
      <c r="C401" s="79"/>
      <c r="D401" s="79"/>
      <c r="E401" s="79"/>
      <c r="F401" s="79"/>
      <c r="G401" s="79"/>
      <c r="H401" s="243"/>
    </row>
    <row r="402" spans="1:8" ht="16" thickBot="1" x14ac:dyDescent="0.25">
      <c r="A402" s="244" t="s">
        <v>1346</v>
      </c>
      <c r="B402" s="245"/>
      <c r="C402" s="245"/>
      <c r="D402" s="245"/>
      <c r="E402" s="245"/>
      <c r="F402" s="245"/>
      <c r="G402" s="245"/>
      <c r="H402" s="246"/>
    </row>
    <row r="404" spans="1:8" x14ac:dyDescent="0.2">
      <c r="A404" s="43" t="s">
        <v>1347</v>
      </c>
      <c r="C404" s="502">
        <f>RATE(C405,C407,C406,C408)</f>
        <v>2.5259796934031997E-3</v>
      </c>
      <c r="D404" s="43" t="s">
        <v>87</v>
      </c>
      <c r="F404" s="191" t="s">
        <v>1348</v>
      </c>
      <c r="G404" s="192"/>
      <c r="H404" s="193"/>
    </row>
    <row r="405" spans="1:8" x14ac:dyDescent="0.2">
      <c r="A405" s="43" t="s">
        <v>1349</v>
      </c>
      <c r="C405" s="29">
        <v>40</v>
      </c>
      <c r="D405" s="43" t="s">
        <v>89</v>
      </c>
      <c r="F405" s="194" t="s">
        <v>1350</v>
      </c>
      <c r="H405" s="195"/>
    </row>
    <row r="406" spans="1:8" x14ac:dyDescent="0.2">
      <c r="A406" s="43" t="s">
        <v>1351</v>
      </c>
      <c r="C406" s="296">
        <v>3800</v>
      </c>
      <c r="D406" s="43" t="s">
        <v>281</v>
      </c>
      <c r="F406" s="194" t="s">
        <v>1352</v>
      </c>
      <c r="H406" s="195"/>
    </row>
    <row r="407" spans="1:8" x14ac:dyDescent="0.2">
      <c r="A407" s="43" t="s">
        <v>1353</v>
      </c>
      <c r="C407" s="29">
        <v>-100</v>
      </c>
      <c r="D407" s="43" t="s">
        <v>91</v>
      </c>
      <c r="F407" s="196" t="s">
        <v>1354</v>
      </c>
      <c r="G407" s="59"/>
      <c r="H407" s="197"/>
    </row>
    <row r="408" spans="1:8" x14ac:dyDescent="0.2">
      <c r="A408" s="43" t="s">
        <v>1355</v>
      </c>
      <c r="C408" s="29">
        <v>0</v>
      </c>
      <c r="D408" s="43" t="s">
        <v>105</v>
      </c>
    </row>
    <row r="409" spans="1:8" x14ac:dyDescent="0.2">
      <c r="C409" s="29">
        <v>0</v>
      </c>
      <c r="D409" s="43" t="s">
        <v>333</v>
      </c>
    </row>
    <row r="411" spans="1:8" x14ac:dyDescent="0.2">
      <c r="A411" s="47" t="s">
        <v>1236</v>
      </c>
      <c r="B411" s="43" t="s">
        <v>1356</v>
      </c>
    </row>
    <row r="412" spans="1:8" x14ac:dyDescent="0.2">
      <c r="B412" s="43" t="s">
        <v>1357</v>
      </c>
    </row>
    <row r="413" spans="1:8" x14ac:dyDescent="0.2">
      <c r="B413" s="43" t="s">
        <v>1358</v>
      </c>
    </row>
    <row r="415" spans="1:8" ht="16" thickBot="1" x14ac:dyDescent="0.25">
      <c r="A415" s="43" t="s">
        <v>1359</v>
      </c>
    </row>
    <row r="416" spans="1:8" ht="16" thickBot="1" x14ac:dyDescent="0.25">
      <c r="B416" s="157">
        <f>(1+C404)^12-1</f>
        <v>3.0736440183734448E-2</v>
      </c>
      <c r="D416" s="43" t="s">
        <v>1360</v>
      </c>
      <c r="F416" s="43" t="s">
        <v>2830</v>
      </c>
      <c r="G416" s="43" t="s">
        <v>1361</v>
      </c>
    </row>
    <row r="418" spans="1:8" x14ac:dyDescent="0.2">
      <c r="A418" s="79" t="s">
        <v>1362</v>
      </c>
      <c r="B418" s="79"/>
      <c r="C418" s="79"/>
      <c r="D418" s="79"/>
      <c r="E418" s="79"/>
      <c r="F418" s="79"/>
      <c r="G418" s="79"/>
      <c r="H418" s="79"/>
    </row>
    <row r="419" spans="1:8" x14ac:dyDescent="0.2">
      <c r="A419" s="79" t="s">
        <v>1363</v>
      </c>
      <c r="B419" s="79"/>
      <c r="C419" s="79"/>
      <c r="D419" s="79"/>
      <c r="E419" s="79"/>
      <c r="F419" s="79"/>
      <c r="G419" s="79"/>
      <c r="H419" s="79"/>
    </row>
    <row r="420" spans="1:8" x14ac:dyDescent="0.2">
      <c r="A420" s="79" t="s">
        <v>1364</v>
      </c>
      <c r="B420" s="79"/>
      <c r="C420" s="79"/>
      <c r="D420" s="79"/>
      <c r="E420" s="79"/>
      <c r="F420" s="79"/>
      <c r="G420" s="79"/>
      <c r="H420" s="79"/>
    </row>
    <row r="422" spans="1:8" x14ac:dyDescent="0.2">
      <c r="A422" s="158" t="s">
        <v>2747</v>
      </c>
      <c r="B422" s="158"/>
      <c r="C422" s="158"/>
      <c r="D422" s="158"/>
      <c r="E422" s="158" t="s">
        <v>805</v>
      </c>
      <c r="F422" s="158"/>
      <c r="G422" s="158"/>
      <c r="H422" s="158"/>
    </row>
    <row r="423" spans="1:8" x14ac:dyDescent="0.2">
      <c r="A423" s="43" t="s">
        <v>1365</v>
      </c>
    </row>
    <row r="424" spans="1:8" x14ac:dyDescent="0.2">
      <c r="A424" s="43" t="s">
        <v>1366</v>
      </c>
    </row>
    <row r="425" spans="1:8" x14ac:dyDescent="0.2">
      <c r="A425" s="43" t="s">
        <v>1367</v>
      </c>
    </row>
    <row r="427" spans="1:8" x14ac:dyDescent="0.2">
      <c r="A427" s="158" t="s">
        <v>2747</v>
      </c>
      <c r="B427" s="158" t="s">
        <v>1314</v>
      </c>
      <c r="C427" s="158"/>
      <c r="D427" s="158"/>
      <c r="E427" s="158" t="s">
        <v>805</v>
      </c>
      <c r="F427" s="158"/>
      <c r="G427" s="158"/>
      <c r="H427" s="158"/>
    </row>
    <row r="428" spans="1:8" x14ac:dyDescent="0.2">
      <c r="A428" s="43" t="s">
        <v>1368</v>
      </c>
      <c r="E428" s="43" t="s">
        <v>1347</v>
      </c>
      <c r="G428" s="155">
        <f>RATE(G429,G431,G430,G432,G433)</f>
        <v>1.0416313913484443E-2</v>
      </c>
      <c r="H428" s="43" t="s">
        <v>87</v>
      </c>
    </row>
    <row r="429" spans="1:8" x14ac:dyDescent="0.2">
      <c r="E429" s="43" t="s">
        <v>1369</v>
      </c>
      <c r="G429" s="47">
        <v>36</v>
      </c>
      <c r="H429" s="43" t="s">
        <v>89</v>
      </c>
    </row>
    <row r="430" spans="1:8" x14ac:dyDescent="0.2">
      <c r="E430" s="43" t="s">
        <v>1370</v>
      </c>
      <c r="G430" s="48">
        <v>5829</v>
      </c>
      <c r="H430" s="43" t="s">
        <v>281</v>
      </c>
    </row>
    <row r="431" spans="1:8" x14ac:dyDescent="0.2">
      <c r="E431" s="43" t="s">
        <v>1353</v>
      </c>
      <c r="G431" s="47">
        <v>-195</v>
      </c>
      <c r="H431" s="43" t="s">
        <v>91</v>
      </c>
    </row>
    <row r="432" spans="1:8" x14ac:dyDescent="0.2">
      <c r="E432" s="43" t="s">
        <v>1355</v>
      </c>
      <c r="G432" s="47">
        <v>0</v>
      </c>
      <c r="H432" s="43" t="s">
        <v>105</v>
      </c>
    </row>
    <row r="433" spans="1:8" x14ac:dyDescent="0.2">
      <c r="G433" s="47">
        <v>0</v>
      </c>
      <c r="H433" s="43" t="s">
        <v>333</v>
      </c>
    </row>
    <row r="434" spans="1:8" ht="16" thickBot="1" x14ac:dyDescent="0.25">
      <c r="G434" s="47"/>
    </row>
    <row r="435" spans="1:8" ht="16" thickBot="1" x14ac:dyDescent="0.25">
      <c r="A435" s="43" t="s">
        <v>1371</v>
      </c>
      <c r="D435" s="159">
        <f>(1+G428)^12-1</f>
        <v>0.13241130228216647</v>
      </c>
      <c r="F435" s="43" t="s">
        <v>1372</v>
      </c>
      <c r="G435" s="47"/>
    </row>
    <row r="436" spans="1:8" x14ac:dyDescent="0.2">
      <c r="G436" s="47"/>
    </row>
    <row r="437" spans="1:8" x14ac:dyDescent="0.2">
      <c r="A437" s="148" t="s">
        <v>2748</v>
      </c>
      <c r="B437" s="148" t="s">
        <v>1373</v>
      </c>
      <c r="C437" s="148"/>
      <c r="D437" s="148"/>
      <c r="E437" s="148"/>
      <c r="F437" s="148"/>
      <c r="G437" s="148" t="s">
        <v>805</v>
      </c>
      <c r="H437" s="148"/>
    </row>
    <row r="438" spans="1:8" x14ac:dyDescent="0.2">
      <c r="A438" s="43" t="s">
        <v>1374</v>
      </c>
    </row>
    <row r="439" spans="1:8" x14ac:dyDescent="0.2">
      <c r="A439" s="43" t="s">
        <v>1375</v>
      </c>
    </row>
    <row r="440" spans="1:8" x14ac:dyDescent="0.2">
      <c r="A440" s="43" t="s">
        <v>1376</v>
      </c>
    </row>
    <row r="441" spans="1:8" x14ac:dyDescent="0.2">
      <c r="A441" s="43" t="s">
        <v>1377</v>
      </c>
    </row>
    <row r="443" spans="1:8" x14ac:dyDescent="0.2">
      <c r="A443" s="43" t="s">
        <v>1378</v>
      </c>
      <c r="B443" s="43" t="s">
        <v>1379</v>
      </c>
    </row>
    <row r="444" spans="1:8" x14ac:dyDescent="0.2">
      <c r="A444" s="43" t="s">
        <v>1380</v>
      </c>
      <c r="B444" s="43" t="s">
        <v>1381</v>
      </c>
    </row>
    <row r="445" spans="1:8" x14ac:dyDescent="0.2">
      <c r="A445" s="43" t="s">
        <v>1382</v>
      </c>
      <c r="B445" s="43" t="s">
        <v>1383</v>
      </c>
    </row>
    <row r="446" spans="1:8" x14ac:dyDescent="0.2">
      <c r="A446" s="43" t="s">
        <v>1384</v>
      </c>
      <c r="B446" s="43" t="s">
        <v>1385</v>
      </c>
    </row>
    <row r="447" spans="1:8" x14ac:dyDescent="0.2">
      <c r="A447" s="43" t="s">
        <v>1386</v>
      </c>
      <c r="B447" s="43" t="s">
        <v>1387</v>
      </c>
    </row>
    <row r="448" spans="1:8" x14ac:dyDescent="0.2">
      <c r="A448" s="43" t="s">
        <v>1388</v>
      </c>
      <c r="B448" s="43" t="s">
        <v>1389</v>
      </c>
    </row>
    <row r="450" spans="1:8" x14ac:dyDescent="0.2">
      <c r="A450" s="43" t="s">
        <v>1390</v>
      </c>
    </row>
    <row r="452" spans="1:8" x14ac:dyDescent="0.2">
      <c r="A452" s="148" t="s">
        <v>2748</v>
      </c>
      <c r="B452" s="148" t="s">
        <v>1314</v>
      </c>
      <c r="C452" s="148"/>
      <c r="D452" s="148"/>
      <c r="E452" s="148"/>
      <c r="F452" s="148" t="s">
        <v>805</v>
      </c>
      <c r="G452" s="148"/>
      <c r="H452" s="148"/>
    </row>
    <row r="453" spans="1:8" x14ac:dyDescent="0.2">
      <c r="A453" s="43" t="s">
        <v>1391</v>
      </c>
    </row>
    <row r="454" spans="1:8" x14ac:dyDescent="0.2">
      <c r="A454" s="43" t="s">
        <v>1392</v>
      </c>
    </row>
    <row r="456" spans="1:8" x14ac:dyDescent="0.2">
      <c r="A456" s="43" t="s">
        <v>1393</v>
      </c>
    </row>
    <row r="458" spans="1:8" ht="16" thickBot="1" x14ac:dyDescent="0.25">
      <c r="A458" s="43" t="s">
        <v>1378</v>
      </c>
      <c r="B458" s="43" t="s">
        <v>1379</v>
      </c>
    </row>
    <row r="459" spans="1:8" ht="16" thickBot="1" x14ac:dyDescent="0.25">
      <c r="B459" s="43" t="s">
        <v>1394</v>
      </c>
      <c r="H459" s="160">
        <v>7.0000000000000007E-2</v>
      </c>
    </row>
    <row r="461" spans="1:8" x14ac:dyDescent="0.2">
      <c r="A461" s="43" t="s">
        <v>1380</v>
      </c>
      <c r="B461" s="43" t="s">
        <v>1395</v>
      </c>
    </row>
    <row r="462" spans="1:8" x14ac:dyDescent="0.2">
      <c r="B462" s="43" t="s">
        <v>1396</v>
      </c>
    </row>
    <row r="463" spans="1:8" ht="16" thickBot="1" x14ac:dyDescent="0.25">
      <c r="B463" s="43" t="s">
        <v>1397</v>
      </c>
    </row>
    <row r="464" spans="1:8" ht="16" thickBot="1" x14ac:dyDescent="0.25">
      <c r="G464" s="43" t="s">
        <v>1398</v>
      </c>
      <c r="H464" s="159">
        <f>1.034^2-1</f>
        <v>6.9155999999999995E-2</v>
      </c>
    </row>
    <row r="466" spans="1:8" ht="16" thickBot="1" x14ac:dyDescent="0.25">
      <c r="A466" s="43" t="s">
        <v>1382</v>
      </c>
      <c r="B466" s="43" t="s">
        <v>1383</v>
      </c>
    </row>
    <row r="467" spans="1:8" ht="16" thickBot="1" x14ac:dyDescent="0.25">
      <c r="G467" s="43" t="s">
        <v>1399</v>
      </c>
      <c r="H467" s="159">
        <f>(1+6.8%/12)^12-1</f>
        <v>7.015988024972164E-2</v>
      </c>
    </row>
    <row r="469" spans="1:8" x14ac:dyDescent="0.2">
      <c r="A469" s="43" t="s">
        <v>1384</v>
      </c>
      <c r="B469" s="43" t="s">
        <v>1385</v>
      </c>
    </row>
    <row r="470" spans="1:8" x14ac:dyDescent="0.2">
      <c r="B470" s="43" t="s">
        <v>1400</v>
      </c>
    </row>
    <row r="471" spans="1:8" ht="16" thickBot="1" x14ac:dyDescent="0.25">
      <c r="B471" s="43" t="s">
        <v>1401</v>
      </c>
    </row>
    <row r="472" spans="1:8" ht="16" thickBot="1" x14ac:dyDescent="0.25">
      <c r="G472" s="43" t="s">
        <v>1402</v>
      </c>
      <c r="H472" s="159">
        <f>1.02^4-1</f>
        <v>8.2432159999999977E-2</v>
      </c>
    </row>
    <row r="474" spans="1:8" ht="16" thickBot="1" x14ac:dyDescent="0.25">
      <c r="A474" s="43" t="s">
        <v>1386</v>
      </c>
      <c r="B474" s="43" t="s">
        <v>1387</v>
      </c>
    </row>
    <row r="475" spans="1:8" ht="16" thickBot="1" x14ac:dyDescent="0.25">
      <c r="G475" s="43" t="s">
        <v>1403</v>
      </c>
      <c r="H475" s="159">
        <f>(1+6.5%/4)^4-1</f>
        <v>6.6601608791504452E-2</v>
      </c>
    </row>
    <row r="477" spans="1:8" ht="16" thickBot="1" x14ac:dyDescent="0.25">
      <c r="A477" s="43" t="s">
        <v>1388</v>
      </c>
      <c r="B477" s="43" t="s">
        <v>1389</v>
      </c>
    </row>
    <row r="478" spans="1:8" ht="16" thickBot="1" x14ac:dyDescent="0.25">
      <c r="G478" s="43" t="s">
        <v>1404</v>
      </c>
      <c r="H478" s="159">
        <f>(1+6%/365)^365-1</f>
        <v>6.1831310677866957E-2</v>
      </c>
    </row>
    <row r="480" spans="1:8" x14ac:dyDescent="0.2">
      <c r="A480" s="44" t="s">
        <v>1405</v>
      </c>
    </row>
    <row r="482" spans="1:10" x14ac:dyDescent="0.2">
      <c r="A482" s="158" t="s">
        <v>2831</v>
      </c>
      <c r="B482" s="158"/>
      <c r="C482" s="158"/>
      <c r="D482" s="158"/>
      <c r="E482" s="158"/>
      <c r="F482" s="158"/>
      <c r="G482" s="158"/>
      <c r="H482" s="158"/>
    </row>
    <row r="483" spans="1:10" x14ac:dyDescent="0.2">
      <c r="A483" s="43" t="s">
        <v>2832</v>
      </c>
    </row>
    <row r="484" spans="1:10" x14ac:dyDescent="0.2">
      <c r="A484" s="43" t="s">
        <v>2833</v>
      </c>
    </row>
    <row r="485" spans="1:10" x14ac:dyDescent="0.2">
      <c r="A485" s="43" t="s">
        <v>2834</v>
      </c>
    </row>
    <row r="486" spans="1:10" x14ac:dyDescent="0.2">
      <c r="A486" s="43" t="s">
        <v>2835</v>
      </c>
    </row>
    <row r="487" spans="1:10" x14ac:dyDescent="0.2">
      <c r="A487" s="43" t="s">
        <v>2836</v>
      </c>
    </row>
    <row r="488" spans="1:10" x14ac:dyDescent="0.2">
      <c r="A488" s="43" t="s">
        <v>2837</v>
      </c>
    </row>
    <row r="490" spans="1:10" x14ac:dyDescent="0.2">
      <c r="C490" s="47">
        <v>1</v>
      </c>
      <c r="G490" s="47">
        <v>0</v>
      </c>
    </row>
    <row r="492" spans="1:10" x14ac:dyDescent="0.2">
      <c r="A492" s="43" t="s">
        <v>2844</v>
      </c>
      <c r="C492" s="48">
        <f>-250000*(1+12%/12)^12</f>
        <v>-281706.25753299246</v>
      </c>
      <c r="E492" s="43" t="s">
        <v>2842</v>
      </c>
      <c r="G492" s="48">
        <v>250000</v>
      </c>
      <c r="H492" s="47" t="s">
        <v>2838</v>
      </c>
    </row>
    <row r="493" spans="1:10" x14ac:dyDescent="0.2">
      <c r="A493" s="43" t="s">
        <v>2845</v>
      </c>
      <c r="C493" s="48">
        <f>-250000*4%</f>
        <v>-10000</v>
      </c>
      <c r="E493" s="43" t="s">
        <v>2843</v>
      </c>
      <c r="G493" s="47">
        <f>-3%*G492</f>
        <v>-7500</v>
      </c>
      <c r="H493" s="43" t="s">
        <v>2839</v>
      </c>
      <c r="J493" s="43" t="s">
        <v>2840</v>
      </c>
    </row>
    <row r="494" spans="1:10" x14ac:dyDescent="0.2">
      <c r="A494" s="43" t="s">
        <v>2846</v>
      </c>
      <c r="C494" s="48">
        <v>1000</v>
      </c>
      <c r="G494" s="150">
        <f>G492+G493</f>
        <v>242500</v>
      </c>
      <c r="H494" s="43" t="s">
        <v>2841</v>
      </c>
    </row>
    <row r="495" spans="1:10" x14ac:dyDescent="0.2">
      <c r="C495" s="150">
        <f>SUM(C492:C494)</f>
        <v>-290706.25753299246</v>
      </c>
    </row>
    <row r="497" spans="1:8" x14ac:dyDescent="0.2">
      <c r="A497" s="43" t="s">
        <v>2847</v>
      </c>
    </row>
    <row r="498" spans="1:8" x14ac:dyDescent="0.2">
      <c r="A498" s="43" t="s">
        <v>2848</v>
      </c>
    </row>
    <row r="499" spans="1:8" x14ac:dyDescent="0.2">
      <c r="G499" s="43" t="s">
        <v>1268</v>
      </c>
    </row>
    <row r="500" spans="1:8" x14ac:dyDescent="0.2">
      <c r="B500" s="44" t="s">
        <v>1777</v>
      </c>
      <c r="E500" s="639">
        <f>-C495/G494-1</f>
        <v>0.19878869085770079</v>
      </c>
      <c r="G500" s="43" t="s">
        <v>2849</v>
      </c>
    </row>
    <row r="505" spans="1:8" x14ac:dyDescent="0.2">
      <c r="A505" s="148" t="s">
        <v>2749</v>
      </c>
      <c r="B505" s="148" t="s">
        <v>1406</v>
      </c>
      <c r="C505" s="148"/>
      <c r="D505" s="148"/>
      <c r="E505" s="148"/>
      <c r="F505" s="148"/>
      <c r="G505" s="148" t="s">
        <v>805</v>
      </c>
      <c r="H505" s="148"/>
    </row>
    <row r="506" spans="1:8" x14ac:dyDescent="0.2">
      <c r="A506" s="43" t="s">
        <v>1407</v>
      </c>
    </row>
    <row r="507" spans="1:8" x14ac:dyDescent="0.2">
      <c r="A507" s="43" t="s">
        <v>1408</v>
      </c>
    </row>
    <row r="509" spans="1:8" x14ac:dyDescent="0.2">
      <c r="A509" s="43" t="s">
        <v>1409</v>
      </c>
      <c r="B509" s="43" t="s">
        <v>1410</v>
      </c>
    </row>
    <row r="510" spans="1:8" x14ac:dyDescent="0.2">
      <c r="A510" s="43" t="s">
        <v>1411</v>
      </c>
      <c r="B510" s="43" t="s">
        <v>1412</v>
      </c>
    </row>
    <row r="511" spans="1:8" x14ac:dyDescent="0.2">
      <c r="A511" s="43" t="s">
        <v>1382</v>
      </c>
      <c r="B511" s="43" t="s">
        <v>1413</v>
      </c>
    </row>
    <row r="512" spans="1:8" x14ac:dyDescent="0.2">
      <c r="A512" s="43" t="s">
        <v>1384</v>
      </c>
      <c r="B512" s="43" t="s">
        <v>1414</v>
      </c>
    </row>
    <row r="513" spans="1:8" x14ac:dyDescent="0.2">
      <c r="A513" s="43" t="s">
        <v>1386</v>
      </c>
      <c r="B513" s="43" t="s">
        <v>1415</v>
      </c>
    </row>
    <row r="515" spans="1:8" x14ac:dyDescent="0.2">
      <c r="A515" s="43" t="s">
        <v>1416</v>
      </c>
    </row>
    <row r="517" spans="1:8" x14ac:dyDescent="0.2">
      <c r="A517" s="148" t="s">
        <v>2749</v>
      </c>
      <c r="B517" s="148" t="s">
        <v>1314</v>
      </c>
      <c r="C517" s="148"/>
      <c r="D517" s="148"/>
      <c r="E517" s="148"/>
      <c r="F517" s="148"/>
      <c r="G517" s="148"/>
      <c r="H517" s="148"/>
    </row>
    <row r="518" spans="1:8" x14ac:dyDescent="0.2">
      <c r="A518" s="43" t="s">
        <v>617</v>
      </c>
      <c r="B518" s="77">
        <v>0.24</v>
      </c>
    </row>
    <row r="519" spans="1:8" x14ac:dyDescent="0.2">
      <c r="A519" s="43" t="s">
        <v>616</v>
      </c>
      <c r="B519" s="162">
        <f>(1+0.23/4)^4-1</f>
        <v>0.25060886878906308</v>
      </c>
      <c r="F519" s="43" t="s">
        <v>1417</v>
      </c>
    </row>
    <row r="520" spans="1:8" x14ac:dyDescent="0.2">
      <c r="A520" s="43" t="s">
        <v>1418</v>
      </c>
      <c r="B520" s="162">
        <f>940000/(940000-22%*940000)-1</f>
        <v>0.28205128205128216</v>
      </c>
      <c r="F520" s="43" t="s">
        <v>1419</v>
      </c>
    </row>
    <row r="521" spans="1:8" x14ac:dyDescent="0.2">
      <c r="A521" s="43" t="s">
        <v>1420</v>
      </c>
      <c r="B521" s="162">
        <f>(1+22%/12)^12-1</f>
        <v>0.24359657794448264</v>
      </c>
      <c r="F521" s="43" t="s">
        <v>1421</v>
      </c>
    </row>
    <row r="522" spans="1:8" x14ac:dyDescent="0.2">
      <c r="A522" s="43" t="s">
        <v>1422</v>
      </c>
      <c r="B522" s="156">
        <f>(940000-2%*940000)/(940000-25%*940000)-1</f>
        <v>0.30666666666666664</v>
      </c>
      <c r="F522" s="43" t="s">
        <v>1423</v>
      </c>
    </row>
    <row r="523" spans="1:8" x14ac:dyDescent="0.2">
      <c r="B523" s="156"/>
    </row>
    <row r="524" spans="1:8" x14ac:dyDescent="0.2">
      <c r="A524" s="44" t="s">
        <v>1424</v>
      </c>
      <c r="B524" s="156"/>
    </row>
    <row r="525" spans="1:8" x14ac:dyDescent="0.2">
      <c r="B525" s="156"/>
    </row>
    <row r="526" spans="1:8" x14ac:dyDescent="0.2">
      <c r="A526" s="43" t="s">
        <v>1425</v>
      </c>
      <c r="B526" s="156"/>
      <c r="D526" s="49">
        <v>1</v>
      </c>
      <c r="E526" s="59"/>
      <c r="F526" s="49">
        <v>0</v>
      </c>
    </row>
    <row r="527" spans="1:8" x14ac:dyDescent="0.2">
      <c r="B527" s="156"/>
      <c r="D527" s="48">
        <f>-F527</f>
        <v>-940000</v>
      </c>
      <c r="F527" s="48">
        <v>940000</v>
      </c>
      <c r="G527" s="43" t="s">
        <v>1426</v>
      </c>
    </row>
    <row r="528" spans="1:8" x14ac:dyDescent="0.2">
      <c r="B528" s="156"/>
      <c r="C528" s="43" t="s">
        <v>1427</v>
      </c>
      <c r="D528" s="48">
        <f>2%*D527*-1</f>
        <v>18800</v>
      </c>
      <c r="F528" s="48">
        <f>-25%*F527</f>
        <v>-235000</v>
      </c>
      <c r="G528" s="43" t="s">
        <v>1428</v>
      </c>
    </row>
    <row r="529" spans="1:8" x14ac:dyDescent="0.2">
      <c r="B529" s="156"/>
      <c r="D529" s="164">
        <f>D527+D528</f>
        <v>-921200</v>
      </c>
      <c r="F529" s="163">
        <f>F527+F528</f>
        <v>705000</v>
      </c>
      <c r="G529" s="43" t="s">
        <v>1429</v>
      </c>
    </row>
    <row r="530" spans="1:8" x14ac:dyDescent="0.2">
      <c r="B530" s="156"/>
    </row>
    <row r="531" spans="1:8" x14ac:dyDescent="0.2">
      <c r="B531" s="156"/>
      <c r="F531" s="43" t="s">
        <v>1430</v>
      </c>
    </row>
    <row r="532" spans="1:8" x14ac:dyDescent="0.2">
      <c r="B532" s="156"/>
    </row>
    <row r="533" spans="1:8" x14ac:dyDescent="0.2">
      <c r="B533" s="156"/>
    </row>
    <row r="535" spans="1:8" x14ac:dyDescent="0.2">
      <c r="A535" s="148" t="s">
        <v>2750</v>
      </c>
      <c r="B535" s="148" t="s">
        <v>1431</v>
      </c>
      <c r="C535" s="148"/>
      <c r="D535" s="148"/>
      <c r="E535" s="148"/>
      <c r="F535" s="148"/>
      <c r="G535" s="148" t="s">
        <v>805</v>
      </c>
      <c r="H535" s="148"/>
    </row>
    <row r="536" spans="1:8" x14ac:dyDescent="0.2">
      <c r="A536" s="43" t="s">
        <v>1432</v>
      </c>
    </row>
    <row r="537" spans="1:8" x14ac:dyDescent="0.2">
      <c r="A537" s="43" t="s">
        <v>1433</v>
      </c>
    </row>
    <row r="539" spans="1:8" x14ac:dyDescent="0.2">
      <c r="A539" s="43" t="s">
        <v>1378</v>
      </c>
      <c r="B539" s="43" t="s">
        <v>1434</v>
      </c>
    </row>
    <row r="540" spans="1:8" x14ac:dyDescent="0.2">
      <c r="A540" s="43" t="s">
        <v>1380</v>
      </c>
      <c r="B540" s="43" t="s">
        <v>1435</v>
      </c>
    </row>
    <row r="541" spans="1:8" x14ac:dyDescent="0.2">
      <c r="A541" s="43" t="s">
        <v>1382</v>
      </c>
      <c r="B541" s="43" t="s">
        <v>1436</v>
      </c>
    </row>
    <row r="542" spans="1:8" x14ac:dyDescent="0.2">
      <c r="A542" s="43" t="s">
        <v>1384</v>
      </c>
      <c r="B542" s="43" t="s">
        <v>1437</v>
      </c>
    </row>
    <row r="543" spans="1:8" x14ac:dyDescent="0.2">
      <c r="A543" s="43" t="s">
        <v>1386</v>
      </c>
      <c r="B543" s="43" t="s">
        <v>1438</v>
      </c>
    </row>
    <row r="545" spans="1:8" x14ac:dyDescent="0.2">
      <c r="A545" s="43" t="s">
        <v>1439</v>
      </c>
    </row>
    <row r="547" spans="1:8" x14ac:dyDescent="0.2">
      <c r="A547" s="148" t="s">
        <v>2750</v>
      </c>
      <c r="B547" s="148" t="s">
        <v>1314</v>
      </c>
      <c r="C547" s="148"/>
      <c r="D547" s="148"/>
      <c r="E547" s="148"/>
      <c r="F547" s="148"/>
      <c r="G547" s="148" t="s">
        <v>805</v>
      </c>
      <c r="H547" s="148"/>
    </row>
    <row r="549" spans="1:8" x14ac:dyDescent="0.2">
      <c r="A549" s="43" t="s">
        <v>1378</v>
      </c>
      <c r="C549" s="151">
        <f>(1+4%/12)^12-1</f>
        <v>4.0741542919790819E-2</v>
      </c>
      <c r="E549" s="43" t="s">
        <v>1440</v>
      </c>
    </row>
    <row r="550" spans="1:8" x14ac:dyDescent="0.2">
      <c r="A550" s="43" t="s">
        <v>1380</v>
      </c>
      <c r="C550" s="165">
        <v>4.3999999999999997E-2</v>
      </c>
    </row>
    <row r="551" spans="1:8" x14ac:dyDescent="0.2">
      <c r="A551" s="43" t="s">
        <v>1382</v>
      </c>
      <c r="C551" s="161">
        <f>1.02^2-1</f>
        <v>4.0399999999999991E-2</v>
      </c>
      <c r="E551" s="43" t="s">
        <v>1441</v>
      </c>
    </row>
    <row r="552" spans="1:8" x14ac:dyDescent="0.2">
      <c r="A552" s="43" t="s">
        <v>1384</v>
      </c>
      <c r="C552" s="161">
        <f>1.01^4-1</f>
        <v>4.0604010000000024E-2</v>
      </c>
      <c r="E552" s="43" t="s">
        <v>1442</v>
      </c>
    </row>
    <row r="553" spans="1:8" x14ac:dyDescent="0.2">
      <c r="A553" s="43" t="s">
        <v>1386</v>
      </c>
      <c r="C553" s="161">
        <f>(1+3.5%/360)^360-1</f>
        <v>3.5617946923420796E-2</v>
      </c>
      <c r="E553" s="43" t="s">
        <v>1443</v>
      </c>
    </row>
    <row r="555" spans="1:8" x14ac:dyDescent="0.2">
      <c r="A555" s="43" t="s">
        <v>1444</v>
      </c>
    </row>
    <row r="557" spans="1:8" x14ac:dyDescent="0.2">
      <c r="A557" s="148" t="s">
        <v>2751</v>
      </c>
      <c r="B557" s="148" t="s">
        <v>1446</v>
      </c>
      <c r="C557" s="148"/>
      <c r="D557" s="148"/>
      <c r="E557" s="148"/>
      <c r="F557" s="148"/>
      <c r="G557" s="148" t="s">
        <v>805</v>
      </c>
      <c r="H557" s="148"/>
    </row>
    <row r="558" spans="1:8" x14ac:dyDescent="0.2">
      <c r="A558" s="43" t="s">
        <v>1447</v>
      </c>
    </row>
    <row r="559" spans="1:8" x14ac:dyDescent="0.2">
      <c r="A559" s="43" t="s">
        <v>1448</v>
      </c>
    </row>
    <row r="560" spans="1:8" x14ac:dyDescent="0.2">
      <c r="A560" s="43" t="s">
        <v>1449</v>
      </c>
    </row>
    <row r="562" spans="1:8" x14ac:dyDescent="0.2">
      <c r="A562" s="43" t="s">
        <v>1450</v>
      </c>
    </row>
    <row r="564" spans="1:8" x14ac:dyDescent="0.2">
      <c r="A564" s="148" t="s">
        <v>2751</v>
      </c>
      <c r="B564" s="148" t="s">
        <v>1314</v>
      </c>
      <c r="C564" s="148"/>
      <c r="D564" s="148"/>
      <c r="E564" s="148"/>
      <c r="F564" s="148"/>
      <c r="G564" s="148" t="s">
        <v>805</v>
      </c>
      <c r="H564" s="148"/>
    </row>
    <row r="566" spans="1:8" x14ac:dyDescent="0.2">
      <c r="B566" s="152">
        <f>(15000*(1+3%/3)^6)/(15000*0.99)-1</f>
        <v>7.2242576364646593E-2</v>
      </c>
      <c r="E566" s="43" t="s">
        <v>1451</v>
      </c>
    </row>
    <row r="568" spans="1:8" x14ac:dyDescent="0.2">
      <c r="A568" s="43" t="s">
        <v>172</v>
      </c>
    </row>
    <row r="569" spans="1:8" x14ac:dyDescent="0.2">
      <c r="C569" s="49">
        <v>1</v>
      </c>
      <c r="D569" s="49"/>
      <c r="E569" s="49">
        <v>0</v>
      </c>
    </row>
    <row r="570" spans="1:8" x14ac:dyDescent="0.2">
      <c r="B570" s="43" t="s">
        <v>1452</v>
      </c>
      <c r="C570" s="48">
        <f>-15000*1.01^6</f>
        <v>-15922.802259015001</v>
      </c>
      <c r="D570" s="47"/>
      <c r="E570" s="48">
        <v>15000</v>
      </c>
      <c r="F570" s="43" t="s">
        <v>1260</v>
      </c>
    </row>
    <row r="571" spans="1:8" x14ac:dyDescent="0.2">
      <c r="C571" s="47"/>
      <c r="D571" s="47"/>
      <c r="E571" s="47">
        <f>-1%*E570</f>
        <v>-150</v>
      </c>
      <c r="F571" s="43" t="s">
        <v>1453</v>
      </c>
    </row>
    <row r="572" spans="1:8" x14ac:dyDescent="0.2">
      <c r="C572" s="48"/>
      <c r="D572" s="47"/>
      <c r="E572" s="48">
        <f>E570+E571</f>
        <v>14850</v>
      </c>
      <c r="F572" s="43" t="s">
        <v>1324</v>
      </c>
    </row>
    <row r="574" spans="1:8" x14ac:dyDescent="0.2">
      <c r="C574" s="72">
        <f>B566</f>
        <v>7.2242576364646593E-2</v>
      </c>
      <c r="E574" s="43" t="s">
        <v>1454</v>
      </c>
    </row>
    <row r="576" spans="1:8" x14ac:dyDescent="0.2">
      <c r="A576" s="43" t="s">
        <v>1455</v>
      </c>
    </row>
    <row r="577" spans="1:8" x14ac:dyDescent="0.2">
      <c r="A577" s="43" t="s">
        <v>1456</v>
      </c>
    </row>
    <row r="578" spans="1:8" x14ac:dyDescent="0.2">
      <c r="A578" s="43" t="s">
        <v>1457</v>
      </c>
    </row>
    <row r="579" spans="1:8" x14ac:dyDescent="0.2">
      <c r="A579" s="43" t="s">
        <v>1458</v>
      </c>
    </row>
    <row r="580" spans="1:8" x14ac:dyDescent="0.2">
      <c r="A580" s="43" t="s">
        <v>1459</v>
      </c>
    </row>
    <row r="581" spans="1:8" x14ac:dyDescent="0.2">
      <c r="A581" s="43" t="s">
        <v>1460</v>
      </c>
    </row>
    <row r="582" spans="1:8" ht="16" thickBot="1" x14ac:dyDescent="0.25"/>
    <row r="583" spans="1:8" x14ac:dyDescent="0.2">
      <c r="A583" s="213" t="s">
        <v>2850</v>
      </c>
      <c r="B583" s="214"/>
      <c r="C583" s="214"/>
      <c r="D583" s="214"/>
      <c r="E583" s="214"/>
      <c r="F583" s="214"/>
      <c r="G583" s="214"/>
      <c r="H583" s="215"/>
    </row>
    <row r="584" spans="1:8" x14ac:dyDescent="0.2">
      <c r="A584" s="323"/>
      <c r="H584" s="217"/>
    </row>
    <row r="585" spans="1:8" x14ac:dyDescent="0.2">
      <c r="A585" s="323" t="s">
        <v>2851</v>
      </c>
      <c r="H585" s="217"/>
    </row>
    <row r="586" spans="1:8" x14ac:dyDescent="0.2">
      <c r="A586" s="323" t="s">
        <v>2852</v>
      </c>
      <c r="H586" s="217"/>
    </row>
    <row r="587" spans="1:8" x14ac:dyDescent="0.2">
      <c r="A587" s="323" t="s">
        <v>2853</v>
      </c>
      <c r="F587" s="43" t="s">
        <v>1189</v>
      </c>
      <c r="H587" s="217"/>
    </row>
    <row r="588" spans="1:8" x14ac:dyDescent="0.2">
      <c r="A588" s="323"/>
      <c r="H588" s="217"/>
    </row>
    <row r="589" spans="1:8" x14ac:dyDescent="0.2">
      <c r="A589" s="323" t="s">
        <v>2854</v>
      </c>
      <c r="H589" s="217"/>
    </row>
    <row r="590" spans="1:8" x14ac:dyDescent="0.2">
      <c r="A590" s="323"/>
      <c r="F590" s="43" t="s">
        <v>2855</v>
      </c>
      <c r="H590" s="217"/>
    </row>
    <row r="591" spans="1:8" x14ac:dyDescent="0.2">
      <c r="A591" s="323"/>
      <c r="H591" s="217"/>
    </row>
    <row r="592" spans="1:8" x14ac:dyDescent="0.2">
      <c r="A592" s="323" t="s">
        <v>2856</v>
      </c>
      <c r="H592" s="217"/>
    </row>
    <row r="593" spans="1:8" x14ac:dyDescent="0.2">
      <c r="A593" s="323" t="s">
        <v>2857</v>
      </c>
      <c r="H593" s="217"/>
    </row>
    <row r="594" spans="1:8" x14ac:dyDescent="0.2">
      <c r="A594" s="323" t="s">
        <v>2858</v>
      </c>
      <c r="H594" s="217"/>
    </row>
    <row r="595" spans="1:8" x14ac:dyDescent="0.2">
      <c r="A595" s="323" t="s">
        <v>2859</v>
      </c>
      <c r="H595" s="217"/>
    </row>
    <row r="596" spans="1:8" x14ac:dyDescent="0.2">
      <c r="A596" s="323"/>
      <c r="F596" s="43" t="s">
        <v>2816</v>
      </c>
      <c r="H596" s="217"/>
    </row>
    <row r="597" spans="1:8" x14ac:dyDescent="0.2">
      <c r="A597" s="323"/>
      <c r="H597" s="217"/>
    </row>
    <row r="598" spans="1:8" x14ac:dyDescent="0.2">
      <c r="A598" s="323" t="s">
        <v>2860</v>
      </c>
      <c r="H598" s="217"/>
    </row>
    <row r="599" spans="1:8" x14ac:dyDescent="0.2">
      <c r="A599" s="323" t="s">
        <v>2861</v>
      </c>
      <c r="H599" s="217"/>
    </row>
    <row r="600" spans="1:8" x14ac:dyDescent="0.2">
      <c r="A600" s="323" t="s">
        <v>2862</v>
      </c>
      <c r="H600" s="217"/>
    </row>
    <row r="601" spans="1:8" ht="16" thickBot="1" x14ac:dyDescent="0.25">
      <c r="A601" s="236" t="s">
        <v>2863</v>
      </c>
      <c r="B601" s="219"/>
      <c r="C601" s="219"/>
      <c r="D601" s="219"/>
      <c r="E601" s="219"/>
      <c r="F601" s="219"/>
      <c r="G601" s="219"/>
      <c r="H601" s="220"/>
    </row>
  </sheetData>
  <mergeCells count="12">
    <mergeCell ref="A1:H1"/>
    <mergeCell ref="G326:G327"/>
    <mergeCell ref="E326:E327"/>
    <mergeCell ref="D326:D327"/>
    <mergeCell ref="B326:B327"/>
    <mergeCell ref="A326:A327"/>
    <mergeCell ref="H326:I327"/>
    <mergeCell ref="A196:A197"/>
    <mergeCell ref="B196:B197"/>
    <mergeCell ref="D196:D197"/>
    <mergeCell ref="E196:E197"/>
    <mergeCell ref="G196:G19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480"/>
  <sheetViews>
    <sheetView rightToLeft="1" topLeftCell="A416" zoomScale="360" zoomScaleNormal="360" workbookViewId="0">
      <selection activeCell="F414" sqref="F414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04" t="s">
        <v>2864</v>
      </c>
      <c r="B1" s="704"/>
      <c r="C1" s="704"/>
      <c r="D1" s="704"/>
      <c r="E1" s="704"/>
      <c r="F1" s="704"/>
      <c r="G1" s="704"/>
      <c r="H1" s="704"/>
    </row>
    <row r="3" spans="1:8" x14ac:dyDescent="0.2">
      <c r="A3" s="166" t="s">
        <v>1461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1462</v>
      </c>
    </row>
    <row r="5" spans="1:8" x14ac:dyDescent="0.2">
      <c r="A5" s="92" t="s">
        <v>1463</v>
      </c>
    </row>
    <row r="6" spans="1:8" x14ac:dyDescent="0.2">
      <c r="A6" s="92" t="s">
        <v>1464</v>
      </c>
    </row>
    <row r="7" spans="1:8" x14ac:dyDescent="0.2">
      <c r="A7" s="92" t="s">
        <v>1465</v>
      </c>
    </row>
    <row r="8" spans="1:8" x14ac:dyDescent="0.2">
      <c r="A8" s="92" t="s">
        <v>1466</v>
      </c>
    </row>
    <row r="10" spans="1:8" x14ac:dyDescent="0.2">
      <c r="A10" s="166" t="s">
        <v>1467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1468</v>
      </c>
    </row>
    <row r="12" spans="1:8" x14ac:dyDescent="0.2">
      <c r="A12" s="92" t="s">
        <v>1469</v>
      </c>
    </row>
    <row r="13" spans="1:8" x14ac:dyDescent="0.2">
      <c r="A13" s="92" t="s">
        <v>1470</v>
      </c>
    </row>
    <row r="14" spans="1:8" x14ac:dyDescent="0.2">
      <c r="A14" s="92" t="s">
        <v>1471</v>
      </c>
    </row>
    <row r="15" spans="1:8" x14ac:dyDescent="0.2">
      <c r="A15" s="92" t="s">
        <v>1472</v>
      </c>
    </row>
    <row r="17" spans="1:8" x14ac:dyDescent="0.2">
      <c r="A17" s="166" t="s">
        <v>1473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1474</v>
      </c>
    </row>
    <row r="19" spans="1:8" x14ac:dyDescent="0.2">
      <c r="A19" s="92" t="s">
        <v>1475</v>
      </c>
    </row>
    <row r="20" spans="1:8" x14ac:dyDescent="0.2">
      <c r="A20" s="92" t="s">
        <v>1476</v>
      </c>
    </row>
    <row r="21" spans="1:8" x14ac:dyDescent="0.2">
      <c r="A21" s="92" t="s">
        <v>1477</v>
      </c>
    </row>
    <row r="22" spans="1:8" x14ac:dyDescent="0.2">
      <c r="A22" s="92" t="s">
        <v>1478</v>
      </c>
    </row>
    <row r="23" spans="1:8" x14ac:dyDescent="0.2">
      <c r="A23" s="92" t="s">
        <v>1479</v>
      </c>
    </row>
    <row r="24" spans="1:8" x14ac:dyDescent="0.2">
      <c r="A24" s="92" t="s">
        <v>1480</v>
      </c>
    </row>
    <row r="25" spans="1:8" x14ac:dyDescent="0.2">
      <c r="A25" s="92" t="s">
        <v>1481</v>
      </c>
    </row>
    <row r="26" spans="1:8" x14ac:dyDescent="0.2">
      <c r="A26" s="92" t="s">
        <v>1482</v>
      </c>
    </row>
    <row r="27" spans="1:8" x14ac:dyDescent="0.2">
      <c r="A27" s="92" t="s">
        <v>1483</v>
      </c>
    </row>
    <row r="28" spans="1:8" x14ac:dyDescent="0.2">
      <c r="A28" s="92" t="s">
        <v>1484</v>
      </c>
    </row>
    <row r="29" spans="1:8" x14ac:dyDescent="0.2">
      <c r="A29" s="92" t="s">
        <v>1485</v>
      </c>
    </row>
    <row r="30" spans="1:8" x14ac:dyDescent="0.2">
      <c r="A30" s="92" t="s">
        <v>1486</v>
      </c>
    </row>
    <row r="31" spans="1:8" x14ac:dyDescent="0.2">
      <c r="A31" s="92" t="s">
        <v>1487</v>
      </c>
    </row>
    <row r="32" spans="1:8" x14ac:dyDescent="0.2">
      <c r="A32" s="92" t="s">
        <v>1488</v>
      </c>
    </row>
    <row r="33" spans="1:8" x14ac:dyDescent="0.2">
      <c r="A33" s="92" t="s">
        <v>1489</v>
      </c>
    </row>
    <row r="34" spans="1:8" x14ac:dyDescent="0.2">
      <c r="A34" s="92" t="s">
        <v>1490</v>
      </c>
    </row>
    <row r="35" spans="1:8" x14ac:dyDescent="0.2">
      <c r="A35" s="92" t="s">
        <v>1491</v>
      </c>
    </row>
    <row r="36" spans="1:8" x14ac:dyDescent="0.2">
      <c r="A36" s="92" t="s">
        <v>1492</v>
      </c>
    </row>
    <row r="37" spans="1:8" x14ac:dyDescent="0.2">
      <c r="A37" s="92" t="s">
        <v>1493</v>
      </c>
    </row>
    <row r="38" spans="1:8" x14ac:dyDescent="0.2">
      <c r="A38" s="92" t="s">
        <v>1494</v>
      </c>
    </row>
    <row r="40" spans="1:8" x14ac:dyDescent="0.2">
      <c r="A40" s="640" t="s">
        <v>2865</v>
      </c>
      <c r="B40" s="641"/>
      <c r="C40" s="641"/>
      <c r="D40" s="641"/>
      <c r="E40" s="641"/>
      <c r="F40" s="641"/>
      <c r="G40" s="641"/>
      <c r="H40" s="641"/>
    </row>
    <row r="42" spans="1:8" x14ac:dyDescent="0.2">
      <c r="B42" s="169" t="s">
        <v>1495</v>
      </c>
      <c r="C42" s="169" t="s">
        <v>1496</v>
      </c>
      <c r="D42" s="169" t="s">
        <v>1497</v>
      </c>
      <c r="E42" s="169" t="s">
        <v>1498</v>
      </c>
      <c r="F42" s="169" t="s">
        <v>1499</v>
      </c>
      <c r="G42" s="169" t="s">
        <v>1500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1501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2866</v>
      </c>
    </row>
    <row r="49" spans="1:8" x14ac:dyDescent="0.2">
      <c r="A49" s="92" t="s">
        <v>2867</v>
      </c>
    </row>
    <row r="50" spans="1:8" x14ac:dyDescent="0.2">
      <c r="A50" s="92" t="s">
        <v>2868</v>
      </c>
    </row>
    <row r="52" spans="1:8" x14ac:dyDescent="0.2">
      <c r="A52" s="92" t="s">
        <v>111</v>
      </c>
    </row>
    <row r="53" spans="1:8" x14ac:dyDescent="0.2">
      <c r="A53" s="93" t="s">
        <v>2869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1502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1503</v>
      </c>
    </row>
    <row r="57" spans="1:8" x14ac:dyDescent="0.2">
      <c r="A57" s="92" t="s">
        <v>1504</v>
      </c>
    </row>
    <row r="58" spans="1:8" x14ac:dyDescent="0.2">
      <c r="A58" s="92" t="s">
        <v>1505</v>
      </c>
    </row>
    <row r="59" spans="1:8" x14ac:dyDescent="0.2">
      <c r="A59" s="92" t="s">
        <v>1506</v>
      </c>
    </row>
    <row r="61" spans="1:8" x14ac:dyDescent="0.2">
      <c r="A61" s="93" t="s">
        <v>1507</v>
      </c>
    </row>
    <row r="62" spans="1:8" x14ac:dyDescent="0.2">
      <c r="A62" s="92" t="s">
        <v>1508</v>
      </c>
      <c r="D62" s="475">
        <v>4.0000000000000001E-3</v>
      </c>
      <c r="E62" s="92" t="s">
        <v>87</v>
      </c>
    </row>
    <row r="63" spans="1:8" x14ac:dyDescent="0.2">
      <c r="A63" s="92" t="s">
        <v>1509</v>
      </c>
      <c r="D63" s="470">
        <v>24</v>
      </c>
      <c r="E63" s="92" t="s">
        <v>89</v>
      </c>
    </row>
    <row r="64" spans="1:8" x14ac:dyDescent="0.2">
      <c r="A64" s="92" t="s">
        <v>1510</v>
      </c>
      <c r="D64" s="470">
        <v>4000</v>
      </c>
      <c r="E64" s="92" t="s">
        <v>281</v>
      </c>
    </row>
    <row r="65" spans="1:7" x14ac:dyDescent="0.2">
      <c r="A65" s="92" t="s">
        <v>1511</v>
      </c>
      <c r="D65" s="642">
        <f>PMT(D62,D63,D64,D66)</f>
        <v>-175.12750336261169</v>
      </c>
      <c r="E65" s="92" t="s">
        <v>91</v>
      </c>
    </row>
    <row r="66" spans="1:7" x14ac:dyDescent="0.2">
      <c r="A66" s="92" t="s">
        <v>1512</v>
      </c>
      <c r="D66" s="470">
        <v>0</v>
      </c>
      <c r="E66" s="92" t="s">
        <v>105</v>
      </c>
    </row>
    <row r="68" spans="1:7" x14ac:dyDescent="0.2">
      <c r="A68" s="93" t="s">
        <v>1513</v>
      </c>
    </row>
    <row r="69" spans="1:7" x14ac:dyDescent="0.2">
      <c r="A69" s="93"/>
    </row>
    <row r="70" spans="1:7" x14ac:dyDescent="0.2">
      <c r="D70" s="172" t="s">
        <v>1514</v>
      </c>
      <c r="E70" s="172" t="s">
        <v>1515</v>
      </c>
      <c r="F70" s="504" t="s">
        <v>1516</v>
      </c>
      <c r="G70" s="172" t="s">
        <v>1517</v>
      </c>
    </row>
    <row r="71" spans="1:7" x14ac:dyDescent="0.2">
      <c r="B71" s="169" t="s">
        <v>1495</v>
      </c>
      <c r="C71" s="169" t="s">
        <v>1496</v>
      </c>
      <c r="D71" s="169" t="s">
        <v>1497</v>
      </c>
      <c r="E71" s="169" t="s">
        <v>1498</v>
      </c>
      <c r="F71" s="505" t="s">
        <v>1499</v>
      </c>
      <c r="G71" s="169" t="s">
        <v>1500</v>
      </c>
    </row>
    <row r="72" spans="1:7" x14ac:dyDescent="0.2">
      <c r="B72" s="168">
        <v>0</v>
      </c>
      <c r="C72" s="170"/>
      <c r="D72" s="170"/>
      <c r="E72" s="170"/>
      <c r="F72" s="170"/>
      <c r="G72" s="171">
        <f>D64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C73*$D$62</f>
        <v>16</v>
      </c>
      <c r="F73" s="173">
        <f>-D65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3">
        <f>G73</f>
        <v>3840.8724966373884</v>
      </c>
      <c r="D74" s="173">
        <f>F74-E74</f>
        <v>159.76401337606214</v>
      </c>
      <c r="E74" s="173">
        <f>C74*$D$62</f>
        <v>15.363489986549554</v>
      </c>
      <c r="F74" s="173">
        <f>F73</f>
        <v>175.12750336261169</v>
      </c>
      <c r="G74" s="173">
        <f>C74-D74</f>
        <v>3681.1084832613265</v>
      </c>
    </row>
    <row r="75" spans="1:7" x14ac:dyDescent="0.2">
      <c r="B75" s="168">
        <f t="shared" si="0"/>
        <v>3</v>
      </c>
      <c r="C75" s="173">
        <f t="shared" ref="C75:C96" si="1">G74</f>
        <v>3681.1084832613265</v>
      </c>
      <c r="D75" s="173">
        <f t="shared" ref="D75:D96" si="2">F75-E75</f>
        <v>160.40306942956639</v>
      </c>
      <c r="E75" s="173">
        <f t="shared" ref="E75:E96" si="3">C75*$D$62</f>
        <v>14.724433933045306</v>
      </c>
      <c r="F75" s="173">
        <f t="shared" ref="F75:F96" si="4">F74</f>
        <v>175.12750336261169</v>
      </c>
      <c r="G75" s="173">
        <f t="shared" ref="G75:G96" si="5">C75-D75</f>
        <v>3520.7054138317599</v>
      </c>
    </row>
    <row r="76" spans="1:7" x14ac:dyDescent="0.2">
      <c r="B76" s="168">
        <f t="shared" si="0"/>
        <v>4</v>
      </c>
      <c r="C76" s="173">
        <f t="shared" si="1"/>
        <v>3520.7054138317599</v>
      </c>
      <c r="D76" s="173">
        <f t="shared" si="2"/>
        <v>161.04468170728464</v>
      </c>
      <c r="E76" s="173">
        <f t="shared" si="3"/>
        <v>14.08282165532704</v>
      </c>
      <c r="F76" s="173">
        <f t="shared" si="4"/>
        <v>175.12750336261169</v>
      </c>
      <c r="G76" s="173">
        <f t="shared" si="5"/>
        <v>3359.6607321244751</v>
      </c>
    </row>
    <row r="77" spans="1:7" x14ac:dyDescent="0.2">
      <c r="B77" s="168">
        <f t="shared" si="0"/>
        <v>5</v>
      </c>
      <c r="C77" s="173">
        <f t="shared" si="1"/>
        <v>3359.6607321244751</v>
      </c>
      <c r="D77" s="173">
        <f t="shared" si="2"/>
        <v>161.68886043411379</v>
      </c>
      <c r="E77" s="173">
        <f t="shared" si="3"/>
        <v>13.438642928497901</v>
      </c>
      <c r="F77" s="173">
        <f t="shared" si="4"/>
        <v>175.12750336261169</v>
      </c>
      <c r="G77" s="173">
        <f t="shared" si="5"/>
        <v>3197.9718716903612</v>
      </c>
    </row>
    <row r="78" spans="1:7" x14ac:dyDescent="0.2">
      <c r="B78" s="168">
        <f t="shared" si="0"/>
        <v>6</v>
      </c>
      <c r="C78" s="173">
        <f t="shared" si="1"/>
        <v>3197.9718716903612</v>
      </c>
      <c r="D78" s="173">
        <f t="shared" si="2"/>
        <v>162.33561587585024</v>
      </c>
      <c r="E78" s="173">
        <f t="shared" si="3"/>
        <v>12.791887486761444</v>
      </c>
      <c r="F78" s="173">
        <f t="shared" si="4"/>
        <v>175.12750336261169</v>
      </c>
      <c r="G78" s="173">
        <f t="shared" si="5"/>
        <v>3035.6362558145111</v>
      </c>
    </row>
    <row r="79" spans="1:7" x14ac:dyDescent="0.2">
      <c r="B79" s="168">
        <f t="shared" si="0"/>
        <v>7</v>
      </c>
      <c r="C79" s="173">
        <f t="shared" si="1"/>
        <v>3035.6362558145111</v>
      </c>
      <c r="D79" s="173">
        <f t="shared" si="2"/>
        <v>162.98495833935365</v>
      </c>
      <c r="E79" s="173">
        <f t="shared" si="3"/>
        <v>12.142545023258045</v>
      </c>
      <c r="F79" s="173">
        <f t="shared" si="4"/>
        <v>175.12750336261169</v>
      </c>
      <c r="G79" s="173">
        <f t="shared" si="5"/>
        <v>2872.6512974751572</v>
      </c>
    </row>
    <row r="80" spans="1:7" x14ac:dyDescent="0.2">
      <c r="B80" s="168">
        <f t="shared" si="0"/>
        <v>8</v>
      </c>
      <c r="C80" s="173">
        <f t="shared" si="1"/>
        <v>2872.6512974751572</v>
      </c>
      <c r="D80" s="173">
        <f t="shared" si="2"/>
        <v>163.63689817271106</v>
      </c>
      <c r="E80" s="173">
        <f t="shared" si="3"/>
        <v>11.490605189900629</v>
      </c>
      <c r="F80" s="173">
        <f t="shared" si="4"/>
        <v>175.12750336261169</v>
      </c>
      <c r="G80" s="173">
        <f t="shared" si="5"/>
        <v>2709.0143993024462</v>
      </c>
    </row>
    <row r="81" spans="2:7" x14ac:dyDescent="0.2">
      <c r="B81" s="168">
        <f t="shared" si="0"/>
        <v>9</v>
      </c>
      <c r="C81" s="173">
        <f t="shared" si="1"/>
        <v>2709.0143993024462</v>
      </c>
      <c r="D81" s="173">
        <f t="shared" si="2"/>
        <v>164.2914457654019</v>
      </c>
      <c r="E81" s="173">
        <f t="shared" si="3"/>
        <v>10.836057597209786</v>
      </c>
      <c r="F81" s="173">
        <f t="shared" si="4"/>
        <v>175.12750336261169</v>
      </c>
      <c r="G81" s="173">
        <f t="shared" si="5"/>
        <v>2544.7229535370443</v>
      </c>
    </row>
    <row r="82" spans="2:7" x14ac:dyDescent="0.2">
      <c r="B82" s="168">
        <f t="shared" si="0"/>
        <v>10</v>
      </c>
      <c r="C82" s="173">
        <f t="shared" si="1"/>
        <v>2544.7229535370443</v>
      </c>
      <c r="D82" s="173">
        <f t="shared" si="2"/>
        <v>164.9486115484635</v>
      </c>
      <c r="E82" s="173">
        <f t="shared" si="3"/>
        <v>10.178891814148177</v>
      </c>
      <c r="F82" s="173">
        <f t="shared" si="4"/>
        <v>175.12750336261169</v>
      </c>
      <c r="G82" s="173">
        <f t="shared" si="5"/>
        <v>2379.774341988581</v>
      </c>
    </row>
    <row r="83" spans="2:7" x14ac:dyDescent="0.2">
      <c r="B83" s="168">
        <f t="shared" si="0"/>
        <v>11</v>
      </c>
      <c r="C83" s="173">
        <f t="shared" si="1"/>
        <v>2379.774341988581</v>
      </c>
      <c r="D83" s="173">
        <f t="shared" si="2"/>
        <v>165.60840599465737</v>
      </c>
      <c r="E83" s="173">
        <f t="shared" si="3"/>
        <v>9.5190973679543234</v>
      </c>
      <c r="F83" s="173">
        <f t="shared" si="4"/>
        <v>175.12750336261169</v>
      </c>
      <c r="G83" s="173">
        <f t="shared" si="5"/>
        <v>2214.1659359939235</v>
      </c>
    </row>
    <row r="84" spans="2:7" x14ac:dyDescent="0.2">
      <c r="B84" s="168">
        <f t="shared" si="0"/>
        <v>12</v>
      </c>
      <c r="C84" s="173">
        <f t="shared" si="1"/>
        <v>2214.1659359939235</v>
      </c>
      <c r="D84" s="173">
        <f t="shared" si="2"/>
        <v>166.27083961863599</v>
      </c>
      <c r="E84" s="173">
        <f t="shared" si="3"/>
        <v>8.8566637439756946</v>
      </c>
      <c r="F84" s="173">
        <f t="shared" si="4"/>
        <v>175.12750336261169</v>
      </c>
      <c r="G84" s="173">
        <f t="shared" si="5"/>
        <v>2047.8950963752875</v>
      </c>
    </row>
    <row r="85" spans="2:7" x14ac:dyDescent="0.2">
      <c r="B85" s="168">
        <f t="shared" si="0"/>
        <v>13</v>
      </c>
      <c r="C85" s="173">
        <f t="shared" si="1"/>
        <v>2047.8950963752875</v>
      </c>
      <c r="D85" s="173">
        <f t="shared" si="2"/>
        <v>166.93592297711055</v>
      </c>
      <c r="E85" s="173">
        <f t="shared" si="3"/>
        <v>8.1915803855011493</v>
      </c>
      <c r="F85" s="173">
        <f t="shared" si="4"/>
        <v>175.12750336261169</v>
      </c>
      <c r="G85" s="173">
        <f t="shared" si="5"/>
        <v>1880.959173398177</v>
      </c>
    </row>
    <row r="86" spans="2:7" x14ac:dyDescent="0.2">
      <c r="B86" s="168">
        <f t="shared" si="0"/>
        <v>14</v>
      </c>
      <c r="C86" s="173">
        <f t="shared" si="1"/>
        <v>1880.959173398177</v>
      </c>
      <c r="D86" s="173">
        <f t="shared" si="2"/>
        <v>167.60366666901899</v>
      </c>
      <c r="E86" s="173">
        <f t="shared" si="3"/>
        <v>7.5238366935927079</v>
      </c>
      <c r="F86" s="173">
        <f t="shared" si="4"/>
        <v>175.12750336261169</v>
      </c>
      <c r="G86" s="173">
        <f t="shared" si="5"/>
        <v>1713.3555067291579</v>
      </c>
    </row>
    <row r="87" spans="2:7" x14ac:dyDescent="0.2">
      <c r="B87" s="168">
        <f t="shared" si="0"/>
        <v>15</v>
      </c>
      <c r="C87" s="173">
        <f t="shared" si="1"/>
        <v>1713.3555067291579</v>
      </c>
      <c r="D87" s="173">
        <f t="shared" si="2"/>
        <v>168.27408133569506</v>
      </c>
      <c r="E87" s="173">
        <f t="shared" si="3"/>
        <v>6.8534220269166317</v>
      </c>
      <c r="F87" s="173">
        <f t="shared" si="4"/>
        <v>175.12750336261169</v>
      </c>
      <c r="G87" s="173">
        <f t="shared" si="5"/>
        <v>1545.081425393463</v>
      </c>
    </row>
    <row r="88" spans="2:7" x14ac:dyDescent="0.2">
      <c r="B88" s="168">
        <f t="shared" si="0"/>
        <v>16</v>
      </c>
      <c r="C88" s="173">
        <f t="shared" si="1"/>
        <v>1545.081425393463</v>
      </c>
      <c r="D88" s="173">
        <f t="shared" si="2"/>
        <v>168.94717766103784</v>
      </c>
      <c r="E88" s="173">
        <f t="shared" si="3"/>
        <v>6.1803257015738522</v>
      </c>
      <c r="F88" s="173">
        <f t="shared" si="4"/>
        <v>175.12750336261169</v>
      </c>
      <c r="G88" s="173">
        <f t="shared" si="5"/>
        <v>1376.1342477324251</v>
      </c>
    </row>
    <row r="89" spans="2:7" x14ac:dyDescent="0.2">
      <c r="B89" s="168">
        <f t="shared" ref="B89:B96" si="6">B88+1</f>
        <v>17</v>
      </c>
      <c r="C89" s="173">
        <f t="shared" si="1"/>
        <v>1376.1342477324251</v>
      </c>
      <c r="D89" s="173">
        <f t="shared" si="2"/>
        <v>169.622966371682</v>
      </c>
      <c r="E89" s="173">
        <f t="shared" si="3"/>
        <v>5.5045369909297008</v>
      </c>
      <c r="F89" s="173">
        <f t="shared" si="4"/>
        <v>175.12750336261169</v>
      </c>
      <c r="G89" s="173">
        <f t="shared" si="5"/>
        <v>1206.5112813607432</v>
      </c>
    </row>
    <row r="90" spans="2:7" x14ac:dyDescent="0.2">
      <c r="B90" s="168">
        <f t="shared" si="6"/>
        <v>18</v>
      </c>
      <c r="C90" s="173">
        <f t="shared" si="1"/>
        <v>1206.5112813607432</v>
      </c>
      <c r="D90" s="173">
        <f t="shared" si="2"/>
        <v>170.30145823716873</v>
      </c>
      <c r="E90" s="173">
        <f t="shared" si="3"/>
        <v>4.826045125442973</v>
      </c>
      <c r="F90" s="173">
        <f t="shared" si="4"/>
        <v>175.12750336261169</v>
      </c>
      <c r="G90" s="173">
        <f t="shared" si="5"/>
        <v>1036.2098231235746</v>
      </c>
    </row>
    <row r="91" spans="2:7" x14ac:dyDescent="0.2">
      <c r="B91" s="168">
        <f t="shared" si="6"/>
        <v>19</v>
      </c>
      <c r="C91" s="173">
        <f t="shared" si="1"/>
        <v>1036.2098231235746</v>
      </c>
      <c r="D91" s="173">
        <f t="shared" si="2"/>
        <v>170.98266407011738</v>
      </c>
      <c r="E91" s="173">
        <f t="shared" si="3"/>
        <v>4.1448392924942983</v>
      </c>
      <c r="F91" s="173">
        <f t="shared" si="4"/>
        <v>175.12750336261169</v>
      </c>
      <c r="G91" s="173">
        <f t="shared" si="5"/>
        <v>865.22715905345717</v>
      </c>
    </row>
    <row r="92" spans="2:7" x14ac:dyDescent="0.2">
      <c r="B92" s="168">
        <f t="shared" si="6"/>
        <v>20</v>
      </c>
      <c r="C92" s="173">
        <f t="shared" si="1"/>
        <v>865.22715905345717</v>
      </c>
      <c r="D92" s="173">
        <f t="shared" si="2"/>
        <v>171.66659472639788</v>
      </c>
      <c r="E92" s="173">
        <f t="shared" si="3"/>
        <v>3.4609086362138286</v>
      </c>
      <c r="F92" s="173">
        <f t="shared" si="4"/>
        <v>175.12750336261169</v>
      </c>
      <c r="G92" s="173">
        <f t="shared" si="5"/>
        <v>693.5605643270593</v>
      </c>
    </row>
    <row r="93" spans="2:7" x14ac:dyDescent="0.2">
      <c r="B93" s="168">
        <f t="shared" si="6"/>
        <v>21</v>
      </c>
      <c r="C93" s="173">
        <f t="shared" si="1"/>
        <v>693.5605643270593</v>
      </c>
      <c r="D93" s="173">
        <f t="shared" si="2"/>
        <v>172.35326110530346</v>
      </c>
      <c r="E93" s="173">
        <f t="shared" si="3"/>
        <v>2.774242257308237</v>
      </c>
      <c r="F93" s="173">
        <f t="shared" si="4"/>
        <v>175.12750336261169</v>
      </c>
      <c r="G93" s="173">
        <f t="shared" si="5"/>
        <v>521.20730322175586</v>
      </c>
    </row>
    <row r="94" spans="2:7" x14ac:dyDescent="0.2">
      <c r="B94" s="168">
        <f t="shared" si="6"/>
        <v>22</v>
      </c>
      <c r="C94" s="173">
        <f t="shared" si="1"/>
        <v>521.20730322175586</v>
      </c>
      <c r="D94" s="173">
        <f t="shared" si="2"/>
        <v>173.04267414972466</v>
      </c>
      <c r="E94" s="173">
        <f t="shared" si="3"/>
        <v>2.0848292128870236</v>
      </c>
      <c r="F94" s="173">
        <f t="shared" si="4"/>
        <v>175.12750336261169</v>
      </c>
      <c r="G94" s="173">
        <f t="shared" si="5"/>
        <v>348.16462907203118</v>
      </c>
    </row>
    <row r="95" spans="2:7" x14ac:dyDescent="0.2">
      <c r="B95" s="168">
        <f t="shared" si="6"/>
        <v>23</v>
      </c>
      <c r="C95" s="173">
        <f t="shared" si="1"/>
        <v>348.16462907203118</v>
      </c>
      <c r="D95" s="173">
        <f t="shared" si="2"/>
        <v>173.73484484632357</v>
      </c>
      <c r="E95" s="173">
        <f t="shared" si="3"/>
        <v>1.3926585162881246</v>
      </c>
      <c r="F95" s="173">
        <f t="shared" si="4"/>
        <v>175.12750336261169</v>
      </c>
      <c r="G95" s="173">
        <f t="shared" si="5"/>
        <v>174.42978422570761</v>
      </c>
    </row>
    <row r="96" spans="2:7" x14ac:dyDescent="0.2">
      <c r="B96" s="168">
        <f t="shared" si="6"/>
        <v>24</v>
      </c>
      <c r="C96" s="173">
        <f t="shared" si="1"/>
        <v>174.42978422570761</v>
      </c>
      <c r="D96" s="173">
        <f t="shared" si="2"/>
        <v>174.42978422570886</v>
      </c>
      <c r="E96" s="173">
        <f t="shared" si="3"/>
        <v>0.69771913690283049</v>
      </c>
      <c r="F96" s="173">
        <f t="shared" si="4"/>
        <v>175.12750336261169</v>
      </c>
      <c r="G96" s="643">
        <f t="shared" si="5"/>
        <v>-1.2505552149377763E-12</v>
      </c>
    </row>
    <row r="98" spans="1:8" x14ac:dyDescent="0.2">
      <c r="E98" s="109"/>
    </row>
    <row r="99" spans="1:8" x14ac:dyDescent="0.2">
      <c r="A99" s="167" t="s">
        <v>2870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1518</v>
      </c>
    </row>
    <row r="101" spans="1:8" x14ac:dyDescent="0.2">
      <c r="A101" s="92" t="s">
        <v>1519</v>
      </c>
    </row>
    <row r="102" spans="1:8" x14ac:dyDescent="0.2">
      <c r="A102" s="92" t="s">
        <v>1520</v>
      </c>
    </row>
    <row r="103" spans="1:8" x14ac:dyDescent="0.2">
      <c r="A103" s="92" t="s">
        <v>326</v>
      </c>
    </row>
    <row r="104" spans="1:8" x14ac:dyDescent="0.2">
      <c r="A104" s="92" t="s">
        <v>1521</v>
      </c>
      <c r="E104" s="92" t="s">
        <v>1522</v>
      </c>
    </row>
    <row r="105" spans="1:8" x14ac:dyDescent="0.2">
      <c r="A105" s="92" t="s">
        <v>1523</v>
      </c>
      <c r="E105" s="92" t="s">
        <v>2871</v>
      </c>
    </row>
    <row r="106" spans="1:8" x14ac:dyDescent="0.2">
      <c r="A106" s="92" t="s">
        <v>1524</v>
      </c>
      <c r="E106" s="92" t="s">
        <v>2872</v>
      </c>
    </row>
    <row r="107" spans="1:8" x14ac:dyDescent="0.2">
      <c r="A107" s="92" t="s">
        <v>1525</v>
      </c>
      <c r="E107" s="92" t="s">
        <v>1526</v>
      </c>
    </row>
    <row r="109" spans="1:8" x14ac:dyDescent="0.2">
      <c r="A109" s="93" t="s">
        <v>1527</v>
      </c>
    </row>
    <row r="110" spans="1:8" x14ac:dyDescent="0.2">
      <c r="A110" s="92" t="s">
        <v>1528</v>
      </c>
      <c r="E110" s="475">
        <v>8.0000000000000002E-3</v>
      </c>
      <c r="F110" s="92" t="s">
        <v>87</v>
      </c>
    </row>
    <row r="111" spans="1:8" x14ac:dyDescent="0.2">
      <c r="A111" s="92" t="s">
        <v>1529</v>
      </c>
      <c r="E111" s="470">
        <f>10*12</f>
        <v>120</v>
      </c>
      <c r="F111" s="92" t="s">
        <v>89</v>
      </c>
    </row>
    <row r="112" spans="1:8" x14ac:dyDescent="0.2">
      <c r="A112" s="92" t="s">
        <v>1530</v>
      </c>
      <c r="E112" s="470">
        <v>7500</v>
      </c>
      <c r="F112" s="92" t="s">
        <v>281</v>
      </c>
    </row>
    <row r="113" spans="1:7" x14ac:dyDescent="0.2">
      <c r="A113" s="92" t="s">
        <v>1531</v>
      </c>
      <c r="E113" s="592">
        <f>PMT(E110,E111,E112,E114)</f>
        <v>-97.459268774618423</v>
      </c>
      <c r="F113" s="92" t="s">
        <v>91</v>
      </c>
    </row>
    <row r="114" spans="1:7" x14ac:dyDescent="0.2">
      <c r="A114" s="92" t="s">
        <v>1532</v>
      </c>
      <c r="E114" s="470">
        <v>0</v>
      </c>
      <c r="F114" s="92" t="s">
        <v>105</v>
      </c>
    </row>
    <row r="116" spans="1:7" x14ac:dyDescent="0.2">
      <c r="A116" s="93" t="s">
        <v>1533</v>
      </c>
    </row>
    <row r="117" spans="1:7" x14ac:dyDescent="0.2">
      <c r="A117" s="307" t="s">
        <v>1534</v>
      </c>
      <c r="B117" s="307"/>
      <c r="C117" s="307"/>
      <c r="D117" s="307"/>
      <c r="E117" s="475">
        <f>E110</f>
        <v>8.0000000000000002E-3</v>
      </c>
      <c r="F117" s="92" t="s">
        <v>87</v>
      </c>
    </row>
    <row r="118" spans="1:7" x14ac:dyDescent="0.2">
      <c r="A118" s="307" t="s">
        <v>1535</v>
      </c>
      <c r="B118" s="307"/>
      <c r="C118" s="307"/>
      <c r="D118" s="307"/>
      <c r="E118" s="470">
        <f>E111</f>
        <v>120</v>
      </c>
      <c r="F118" s="92" t="s">
        <v>89</v>
      </c>
    </row>
    <row r="119" spans="1:7" x14ac:dyDescent="0.2">
      <c r="A119" s="307" t="s">
        <v>1536</v>
      </c>
      <c r="B119" s="307"/>
      <c r="C119" s="307"/>
      <c r="D119" s="307"/>
      <c r="E119" s="470">
        <f>E112</f>
        <v>7500</v>
      </c>
      <c r="F119" s="92" t="s">
        <v>281</v>
      </c>
    </row>
    <row r="120" spans="1:7" ht="17" thickBot="1" x14ac:dyDescent="0.25">
      <c r="A120" s="307" t="s">
        <v>1532</v>
      </c>
      <c r="B120" s="307"/>
      <c r="C120" s="307"/>
      <c r="D120" s="307"/>
      <c r="E120" s="470">
        <f>E114</f>
        <v>0</v>
      </c>
      <c r="F120" s="92" t="s">
        <v>105</v>
      </c>
    </row>
    <row r="121" spans="1:7" ht="17" thickBot="1" x14ac:dyDescent="0.25">
      <c r="A121" s="307" t="s">
        <v>1537</v>
      </c>
      <c r="B121" s="307"/>
      <c r="C121" s="307"/>
      <c r="D121" s="307"/>
      <c r="E121" s="645">
        <v>28</v>
      </c>
      <c r="F121" s="125" t="s">
        <v>1538</v>
      </c>
      <c r="G121" s="644" t="s">
        <v>1539</v>
      </c>
    </row>
    <row r="122" spans="1:7" x14ac:dyDescent="0.2">
      <c r="A122" s="307"/>
      <c r="B122" s="307"/>
      <c r="C122" s="307" t="str">
        <f ca="1">_xlfn.FORMULATEXT(E122)</f>
        <v>=PPMT(E117,E121,E118,E119,E120)</v>
      </c>
      <c r="D122" s="307"/>
      <c r="E122" s="592">
        <f>PPMT(E117,E121,E118,E119,E120)</f>
        <v>-46.450849667842007</v>
      </c>
      <c r="F122" s="92" t="s">
        <v>1540</v>
      </c>
    </row>
    <row r="124" spans="1:7" x14ac:dyDescent="0.2">
      <c r="A124" s="92" t="s">
        <v>2873</v>
      </c>
    </row>
    <row r="126" spans="1:7" x14ac:dyDescent="0.2">
      <c r="A126" s="93" t="s">
        <v>1541</v>
      </c>
    </row>
    <row r="127" spans="1:7" x14ac:dyDescent="0.2">
      <c r="A127" s="92" t="s">
        <v>1534</v>
      </c>
      <c r="E127" s="122">
        <f>E117</f>
        <v>8.0000000000000002E-3</v>
      </c>
      <c r="F127" s="92" t="s">
        <v>87</v>
      </c>
    </row>
    <row r="128" spans="1:7" x14ac:dyDescent="0.2">
      <c r="A128" s="92" t="s">
        <v>1535</v>
      </c>
      <c r="E128" s="105">
        <f>E118</f>
        <v>120</v>
      </c>
      <c r="F128" s="92" t="s">
        <v>89</v>
      </c>
    </row>
    <row r="129" spans="1:7" x14ac:dyDescent="0.2">
      <c r="A129" s="92" t="s">
        <v>1536</v>
      </c>
      <c r="E129" s="105">
        <f>E119</f>
        <v>7500</v>
      </c>
      <c r="F129" s="92" t="s">
        <v>281</v>
      </c>
    </row>
    <row r="130" spans="1:7" ht="17" thickBot="1" x14ac:dyDescent="0.25">
      <c r="A130" s="92" t="s">
        <v>1532</v>
      </c>
      <c r="E130" s="105">
        <v>0</v>
      </c>
      <c r="F130" s="92" t="s">
        <v>105</v>
      </c>
    </row>
    <row r="131" spans="1:7" ht="17" thickBot="1" x14ac:dyDescent="0.25">
      <c r="A131" s="92" t="s">
        <v>1537</v>
      </c>
      <c r="E131" s="645">
        <v>94</v>
      </c>
      <c r="F131" s="647" t="s">
        <v>1538</v>
      </c>
      <c r="G131" s="648" t="s">
        <v>1539</v>
      </c>
    </row>
    <row r="132" spans="1:7" x14ac:dyDescent="0.2">
      <c r="E132" s="106">
        <f>IPMT(E127,E131,E128,E129,E130)</f>
        <v>-18.865379325624556</v>
      </c>
      <c r="F132" s="92" t="s">
        <v>1542</v>
      </c>
    </row>
    <row r="134" spans="1:7" x14ac:dyDescent="0.2">
      <c r="A134" s="92" t="s">
        <v>2874</v>
      </c>
    </row>
    <row r="136" spans="1:7" x14ac:dyDescent="0.2">
      <c r="A136" s="93" t="s">
        <v>1543</v>
      </c>
    </row>
    <row r="137" spans="1:7" x14ac:dyDescent="0.2">
      <c r="A137" s="649" t="s">
        <v>1544</v>
      </c>
      <c r="B137" s="649"/>
      <c r="C137" s="649"/>
      <c r="D137" s="649"/>
      <c r="E137" s="649"/>
      <c r="F137" s="649"/>
      <c r="G137" s="649"/>
    </row>
    <row r="138" spans="1:7" x14ac:dyDescent="0.2">
      <c r="A138" s="92" t="s">
        <v>1545</v>
      </c>
    </row>
    <row r="139" spans="1:7" x14ac:dyDescent="0.2">
      <c r="A139" s="92" t="s">
        <v>1546</v>
      </c>
      <c r="D139" s="105">
        <v>87</v>
      </c>
      <c r="E139" s="92" t="s">
        <v>1547</v>
      </c>
    </row>
    <row r="141" spans="1:7" x14ac:dyDescent="0.2">
      <c r="A141" s="93" t="s">
        <v>1548</v>
      </c>
    </row>
    <row r="143" spans="1:7" x14ac:dyDescent="0.2">
      <c r="A143" s="650" t="s">
        <v>1549</v>
      </c>
      <c r="B143" s="650"/>
      <c r="C143" s="650"/>
      <c r="D143" s="650"/>
    </row>
    <row r="144" spans="1:7" x14ac:dyDescent="0.2">
      <c r="A144" s="92" t="s">
        <v>2875</v>
      </c>
      <c r="E144" s="122">
        <v>8.0000000000000002E-3</v>
      </c>
      <c r="F144" s="92" t="s">
        <v>87</v>
      </c>
    </row>
    <row r="145" spans="1:7" x14ac:dyDescent="0.2">
      <c r="A145" s="92" t="s">
        <v>2876</v>
      </c>
      <c r="E145" s="105">
        <v>120</v>
      </c>
      <c r="F145" s="92" t="s">
        <v>89</v>
      </c>
    </row>
    <row r="146" spans="1:7" x14ac:dyDescent="0.2">
      <c r="A146" s="92" t="s">
        <v>2877</v>
      </c>
      <c r="E146" s="105">
        <v>7500</v>
      </c>
      <c r="F146" s="92" t="s">
        <v>281</v>
      </c>
    </row>
    <row r="147" spans="1:7" x14ac:dyDescent="0.2">
      <c r="A147" s="92" t="s">
        <v>2879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2878</v>
      </c>
      <c r="E148" s="105">
        <v>0</v>
      </c>
      <c r="F148" s="92" t="s">
        <v>105</v>
      </c>
    </row>
    <row r="150" spans="1:7" x14ac:dyDescent="0.2">
      <c r="A150" s="650" t="s">
        <v>1550</v>
      </c>
    </row>
    <row r="151" spans="1:7" ht="17" thickBot="1" x14ac:dyDescent="0.25">
      <c r="A151" s="92" t="s">
        <v>2880</v>
      </c>
      <c r="E151" s="122">
        <f>E144</f>
        <v>8.0000000000000002E-3</v>
      </c>
      <c r="F151" s="92" t="s">
        <v>87</v>
      </c>
    </row>
    <row r="152" spans="1:7" ht="17" thickBot="1" x14ac:dyDescent="0.25">
      <c r="A152" s="117" t="s">
        <v>2882</v>
      </c>
      <c r="E152" s="646">
        <f>120-33</f>
        <v>87</v>
      </c>
      <c r="F152" s="125" t="s">
        <v>89</v>
      </c>
      <c r="G152" s="126" t="s">
        <v>2881</v>
      </c>
    </row>
    <row r="153" spans="1:7" x14ac:dyDescent="0.2">
      <c r="A153" s="92" t="s">
        <v>1551</v>
      </c>
      <c r="E153" s="651">
        <f>PV(E151,E152,E154,E155)</f>
        <v>6091.7133734066838</v>
      </c>
      <c r="F153" s="92" t="s">
        <v>281</v>
      </c>
      <c r="G153" s="92" t="s">
        <v>2883</v>
      </c>
    </row>
    <row r="154" spans="1:7" x14ac:dyDescent="0.2">
      <c r="A154" s="92" t="s">
        <v>1552</v>
      </c>
      <c r="E154" s="106">
        <f>E147</f>
        <v>-97.459268774618423</v>
      </c>
      <c r="F154" s="92" t="s">
        <v>91</v>
      </c>
    </row>
    <row r="155" spans="1:7" x14ac:dyDescent="0.2">
      <c r="E155" s="105">
        <v>0</v>
      </c>
      <c r="F155" s="92" t="s">
        <v>105</v>
      </c>
    </row>
    <row r="156" spans="1:7" x14ac:dyDescent="0.2">
      <c r="E156" s="105"/>
    </row>
    <row r="157" spans="1:7" x14ac:dyDescent="0.2">
      <c r="A157" s="93" t="s">
        <v>2884</v>
      </c>
      <c r="E157" s="105"/>
    </row>
    <row r="158" spans="1:7" x14ac:dyDescent="0.2">
      <c r="E158" s="105"/>
    </row>
    <row r="159" spans="1:7" x14ac:dyDescent="0.2">
      <c r="A159" s="92" t="s">
        <v>1553</v>
      </c>
      <c r="E159" s="105"/>
    </row>
    <row r="160" spans="1:7" x14ac:dyDescent="0.2">
      <c r="A160" s="92" t="s">
        <v>1554</v>
      </c>
      <c r="E160" s="105"/>
    </row>
    <row r="161" spans="1:8" x14ac:dyDescent="0.2">
      <c r="A161" s="92" t="s">
        <v>1555</v>
      </c>
      <c r="E161" s="105"/>
    </row>
    <row r="162" spans="1:8" ht="17" thickBot="1" x14ac:dyDescent="0.25">
      <c r="E162" s="105"/>
    </row>
    <row r="163" spans="1:8" x14ac:dyDescent="0.2">
      <c r="A163" s="95" t="s">
        <v>2885</v>
      </c>
      <c r="B163" s="96"/>
      <c r="C163" s="96"/>
      <c r="D163" s="96"/>
      <c r="E163" s="485"/>
      <c r="F163" s="96"/>
      <c r="G163" s="96"/>
      <c r="H163" s="97"/>
    </row>
    <row r="164" spans="1:8" x14ac:dyDescent="0.2">
      <c r="A164" s="98"/>
      <c r="E164" s="105"/>
      <c r="H164" s="99"/>
    </row>
    <row r="165" spans="1:8" x14ac:dyDescent="0.2">
      <c r="A165" s="98"/>
      <c r="B165" s="92" t="s">
        <v>2886</v>
      </c>
      <c r="D165" s="92" t="s">
        <v>2887</v>
      </c>
      <c r="E165" s="105"/>
      <c r="H165" s="99"/>
    </row>
    <row r="166" spans="1:8" x14ac:dyDescent="0.2">
      <c r="A166" s="98"/>
      <c r="B166" s="43" t="s">
        <v>2888</v>
      </c>
      <c r="D166" s="92" t="s">
        <v>1516</v>
      </c>
      <c r="E166" s="105"/>
      <c r="H166" s="99"/>
    </row>
    <row r="167" spans="1:8" x14ac:dyDescent="0.2">
      <c r="A167" s="98"/>
      <c r="B167" s="43" t="s">
        <v>2889</v>
      </c>
      <c r="D167" s="92" t="s">
        <v>2890</v>
      </c>
      <c r="E167" s="105"/>
      <c r="H167" s="99"/>
    </row>
    <row r="168" spans="1:8" x14ac:dyDescent="0.2">
      <c r="A168" s="98"/>
      <c r="B168" s="43" t="s">
        <v>2891</v>
      </c>
      <c r="D168" s="92" t="s">
        <v>2892</v>
      </c>
      <c r="E168" s="105"/>
      <c r="H168" s="99"/>
    </row>
    <row r="169" spans="1:8" ht="17" thickBot="1" x14ac:dyDescent="0.25">
      <c r="A169" s="100"/>
      <c r="B169" s="219" t="s">
        <v>2893</v>
      </c>
      <c r="C169" s="101"/>
      <c r="D169" s="101" t="s">
        <v>34</v>
      </c>
      <c r="E169" s="652" t="s">
        <v>2894</v>
      </c>
      <c r="F169" s="101"/>
      <c r="G169" s="101"/>
      <c r="H169" s="102"/>
    </row>
    <row r="170" spans="1:8" ht="17" thickBot="1" x14ac:dyDescent="0.25">
      <c r="E170" s="105"/>
    </row>
    <row r="171" spans="1:8" ht="17" thickBot="1" x14ac:dyDescent="0.25">
      <c r="A171" s="124" t="s">
        <v>2899</v>
      </c>
      <c r="B171" s="125"/>
      <c r="C171" s="125"/>
      <c r="D171" s="125"/>
      <c r="E171" s="666"/>
      <c r="F171" s="125"/>
      <c r="G171" s="125"/>
      <c r="H171" s="126"/>
    </row>
    <row r="172" spans="1:8" ht="17" thickBot="1" x14ac:dyDescent="0.25">
      <c r="E172" s="105"/>
    </row>
    <row r="173" spans="1:8" ht="17" thickBot="1" x14ac:dyDescent="0.25">
      <c r="A173" s="124" t="s">
        <v>2900</v>
      </c>
      <c r="B173" s="667"/>
      <c r="C173" s="667"/>
      <c r="D173" s="667"/>
      <c r="E173" s="668"/>
      <c r="F173" s="667"/>
      <c r="G173" s="667"/>
      <c r="H173" s="669"/>
    </row>
    <row r="174" spans="1:8" x14ac:dyDescent="0.2">
      <c r="E174" s="105"/>
    </row>
    <row r="175" spans="1:8" x14ac:dyDescent="0.2">
      <c r="E175" s="105"/>
    </row>
    <row r="176" spans="1:8" x14ac:dyDescent="0.2">
      <c r="E176" s="105"/>
    </row>
    <row r="177" spans="1:8" x14ac:dyDescent="0.2">
      <c r="A177" s="167" t="s">
        <v>2895</v>
      </c>
      <c r="B177" s="167"/>
      <c r="C177" s="167"/>
      <c r="D177" s="167"/>
      <c r="E177" s="167"/>
      <c r="F177" s="167"/>
      <c r="G177" s="167"/>
      <c r="H177" s="167"/>
    </row>
    <row r="178" spans="1:8" x14ac:dyDescent="0.2">
      <c r="A178" s="92" t="s">
        <v>1556</v>
      </c>
    </row>
    <row r="179" spans="1:8" x14ac:dyDescent="0.2">
      <c r="A179" s="92" t="s">
        <v>2896</v>
      </c>
    </row>
    <row r="180" spans="1:8" x14ac:dyDescent="0.2">
      <c r="A180" s="92" t="s">
        <v>1557</v>
      </c>
    </row>
    <row r="181" spans="1:8" x14ac:dyDescent="0.2">
      <c r="A181" s="92" t="s">
        <v>1558</v>
      </c>
    </row>
    <row r="192" spans="1:8" ht="17" thickBot="1" x14ac:dyDescent="0.25"/>
    <row r="193" spans="1:8" x14ac:dyDescent="0.2">
      <c r="A193" s="103" t="s">
        <v>1561</v>
      </c>
      <c r="B193" s="96"/>
      <c r="C193" s="97"/>
      <c r="D193" s="103" t="s">
        <v>111</v>
      </c>
      <c r="E193" s="96"/>
      <c r="F193" s="96"/>
      <c r="G193" s="96"/>
      <c r="H193" s="97"/>
    </row>
    <row r="194" spans="1:8" x14ac:dyDescent="0.2">
      <c r="A194" s="98" t="s">
        <v>1563</v>
      </c>
      <c r="C194" s="99"/>
      <c r="D194" s="653" t="s">
        <v>1559</v>
      </c>
      <c r="E194" s="128"/>
      <c r="F194" s="128"/>
      <c r="G194" s="128"/>
      <c r="H194" s="654"/>
    </row>
    <row r="195" spans="1:8" x14ac:dyDescent="0.2">
      <c r="A195" s="98" t="s">
        <v>2897</v>
      </c>
      <c r="C195" s="99"/>
      <c r="D195" s="653" t="s">
        <v>1560</v>
      </c>
      <c r="E195" s="128"/>
      <c r="F195" s="128"/>
      <c r="G195" s="128"/>
      <c r="H195" s="654" t="s">
        <v>2898</v>
      </c>
    </row>
    <row r="196" spans="1:8" x14ac:dyDescent="0.2">
      <c r="A196" s="98" t="s">
        <v>1566</v>
      </c>
      <c r="C196" s="99"/>
      <c r="D196" s="655" t="s">
        <v>1562</v>
      </c>
      <c r="E196" s="133"/>
      <c r="F196" s="133"/>
      <c r="G196" s="133"/>
      <c r="H196" s="656"/>
    </row>
    <row r="197" spans="1:8" x14ac:dyDescent="0.2">
      <c r="A197" s="98" t="s">
        <v>1568</v>
      </c>
      <c r="C197" s="99"/>
      <c r="D197" s="657" t="s">
        <v>1564</v>
      </c>
      <c r="E197" s="658"/>
      <c r="F197" s="658"/>
      <c r="G197" s="658"/>
      <c r="H197" s="659"/>
    </row>
    <row r="198" spans="1:8" x14ac:dyDescent="0.2">
      <c r="A198" s="98" t="s">
        <v>1570</v>
      </c>
      <c r="C198" s="99"/>
      <c r="D198" s="657" t="s">
        <v>1565</v>
      </c>
      <c r="E198" s="658"/>
      <c r="F198" s="658"/>
      <c r="G198" s="658"/>
      <c r="H198" s="659"/>
    </row>
    <row r="199" spans="1:8" ht="17" thickBot="1" x14ac:dyDescent="0.25">
      <c r="A199" s="660">
        <f>8%/12</f>
        <v>6.6666666666666671E-3</v>
      </c>
      <c r="B199" s="101" t="s">
        <v>1571</v>
      </c>
      <c r="C199" s="102"/>
      <c r="D199" s="506" t="s">
        <v>1567</v>
      </c>
      <c r="H199" s="99"/>
    </row>
    <row r="200" spans="1:8" ht="17" thickBot="1" x14ac:dyDescent="0.25">
      <c r="D200" s="507" t="s">
        <v>1569</v>
      </c>
      <c r="E200" s="101"/>
      <c r="F200" s="101"/>
      <c r="G200" s="101"/>
      <c r="H200" s="102"/>
    </row>
    <row r="202" spans="1:8" x14ac:dyDescent="0.2">
      <c r="D202" s="508" t="s">
        <v>1572</v>
      </c>
      <c r="G202" s="508" t="s">
        <v>1496</v>
      </c>
    </row>
    <row r="203" spans="1:8" x14ac:dyDescent="0.2">
      <c r="D203" s="508" t="s">
        <v>1573</v>
      </c>
      <c r="G203" s="508" t="s">
        <v>1574</v>
      </c>
    </row>
    <row r="204" spans="1:8" x14ac:dyDescent="0.2">
      <c r="D204" s="508" t="s">
        <v>1575</v>
      </c>
      <c r="G204" s="508" t="s">
        <v>1576</v>
      </c>
    </row>
    <row r="205" spans="1:8" x14ac:dyDescent="0.2">
      <c r="D205" s="661" t="s">
        <v>1514</v>
      </c>
      <c r="E205" s="527" t="s">
        <v>1577</v>
      </c>
      <c r="F205" s="664" t="s">
        <v>1578</v>
      </c>
      <c r="G205" s="172" t="s">
        <v>1517</v>
      </c>
    </row>
    <row r="206" spans="1:8" x14ac:dyDescent="0.2">
      <c r="B206" s="169" t="s">
        <v>1495</v>
      </c>
      <c r="C206" s="169" t="s">
        <v>1496</v>
      </c>
      <c r="D206" s="662" t="s">
        <v>1497</v>
      </c>
      <c r="E206" s="663" t="s">
        <v>1498</v>
      </c>
      <c r="F206" s="665" t="s">
        <v>1499</v>
      </c>
      <c r="G206" s="169" t="s">
        <v>1500</v>
      </c>
    </row>
    <row r="207" spans="1:8" x14ac:dyDescent="0.2">
      <c r="B207" s="168">
        <v>0</v>
      </c>
      <c r="C207" s="170"/>
      <c r="D207" s="170"/>
      <c r="E207" s="170"/>
      <c r="F207" s="170"/>
      <c r="G207" s="173">
        <v>189</v>
      </c>
    </row>
    <row r="208" spans="1:8" x14ac:dyDescent="0.2">
      <c r="B208" s="168">
        <f>B207+1</f>
        <v>1</v>
      </c>
      <c r="C208" s="173">
        <f t="shared" ref="C208:C219" si="7">G207</f>
        <v>189</v>
      </c>
      <c r="D208" s="173">
        <f>189/12</f>
        <v>15.75</v>
      </c>
      <c r="E208" s="173">
        <f>C208*$A$199</f>
        <v>1.26</v>
      </c>
      <c r="F208" s="173">
        <f>D208+E208</f>
        <v>17.010000000000002</v>
      </c>
      <c r="G208" s="173">
        <f t="shared" ref="G208:G219" si="8">C208-D208</f>
        <v>173.25</v>
      </c>
    </row>
    <row r="209" spans="1:7" x14ac:dyDescent="0.2">
      <c r="B209" s="168">
        <f t="shared" ref="B209:B216" si="9">B208+1</f>
        <v>2</v>
      </c>
      <c r="C209" s="173">
        <f t="shared" si="7"/>
        <v>173.25</v>
      </c>
      <c r="D209" s="173">
        <f>D208</f>
        <v>15.75</v>
      </c>
      <c r="E209" s="173">
        <f t="shared" ref="E209:E219" si="10">C209*$A$199</f>
        <v>1.155</v>
      </c>
      <c r="F209" s="173">
        <f t="shared" ref="F209:F219" si="11">D209+E209</f>
        <v>16.905000000000001</v>
      </c>
      <c r="G209" s="173">
        <f t="shared" si="8"/>
        <v>157.5</v>
      </c>
    </row>
    <row r="210" spans="1:7" x14ac:dyDescent="0.2">
      <c r="B210" s="168">
        <f t="shared" si="9"/>
        <v>3</v>
      </c>
      <c r="C210" s="173">
        <f t="shared" si="7"/>
        <v>157.5</v>
      </c>
      <c r="D210" s="173">
        <f t="shared" ref="D210:D219" si="12">D209</f>
        <v>15.75</v>
      </c>
      <c r="E210" s="173">
        <f t="shared" si="10"/>
        <v>1.05</v>
      </c>
      <c r="F210" s="173">
        <f t="shared" si="11"/>
        <v>16.8</v>
      </c>
      <c r="G210" s="173">
        <f t="shared" si="8"/>
        <v>141.75</v>
      </c>
    </row>
    <row r="211" spans="1:7" x14ac:dyDescent="0.2">
      <c r="B211" s="168">
        <f t="shared" si="9"/>
        <v>4</v>
      </c>
      <c r="C211" s="173">
        <f t="shared" si="7"/>
        <v>141.75</v>
      </c>
      <c r="D211" s="173">
        <f t="shared" si="12"/>
        <v>15.75</v>
      </c>
      <c r="E211" s="173">
        <f t="shared" si="10"/>
        <v>0.94500000000000006</v>
      </c>
      <c r="F211" s="173">
        <f t="shared" si="11"/>
        <v>16.695</v>
      </c>
      <c r="G211" s="173">
        <f t="shared" si="8"/>
        <v>126</v>
      </c>
    </row>
    <row r="212" spans="1:7" x14ac:dyDescent="0.2">
      <c r="B212" s="168">
        <f t="shared" si="9"/>
        <v>5</v>
      </c>
      <c r="C212" s="173">
        <f t="shared" si="7"/>
        <v>126</v>
      </c>
      <c r="D212" s="173">
        <f t="shared" si="12"/>
        <v>15.75</v>
      </c>
      <c r="E212" s="173">
        <f t="shared" si="10"/>
        <v>0.84000000000000008</v>
      </c>
      <c r="F212" s="173">
        <f t="shared" si="11"/>
        <v>16.59</v>
      </c>
      <c r="G212" s="173">
        <f t="shared" si="8"/>
        <v>110.25</v>
      </c>
    </row>
    <row r="213" spans="1:7" x14ac:dyDescent="0.2">
      <c r="B213" s="168">
        <f t="shared" si="9"/>
        <v>6</v>
      </c>
      <c r="C213" s="173">
        <f t="shared" si="7"/>
        <v>110.25</v>
      </c>
      <c r="D213" s="173">
        <f t="shared" si="12"/>
        <v>15.75</v>
      </c>
      <c r="E213" s="173">
        <f t="shared" si="10"/>
        <v>0.7350000000000001</v>
      </c>
      <c r="F213" s="173">
        <f t="shared" si="11"/>
        <v>16.484999999999999</v>
      </c>
      <c r="G213" s="173">
        <f t="shared" si="8"/>
        <v>94.5</v>
      </c>
    </row>
    <row r="214" spans="1:7" x14ac:dyDescent="0.2">
      <c r="B214" s="168">
        <f t="shared" si="9"/>
        <v>7</v>
      </c>
      <c r="C214" s="173">
        <f t="shared" si="7"/>
        <v>94.5</v>
      </c>
      <c r="D214" s="173">
        <f t="shared" si="12"/>
        <v>15.75</v>
      </c>
      <c r="E214" s="173">
        <f t="shared" si="10"/>
        <v>0.63</v>
      </c>
      <c r="F214" s="173">
        <f t="shared" si="11"/>
        <v>16.38</v>
      </c>
      <c r="G214" s="173">
        <f t="shared" si="8"/>
        <v>78.75</v>
      </c>
    </row>
    <row r="215" spans="1:7" x14ac:dyDescent="0.2">
      <c r="B215" s="168">
        <f t="shared" si="9"/>
        <v>8</v>
      </c>
      <c r="C215" s="173">
        <f t="shared" si="7"/>
        <v>78.75</v>
      </c>
      <c r="D215" s="173">
        <f t="shared" si="12"/>
        <v>15.75</v>
      </c>
      <c r="E215" s="173">
        <f t="shared" si="10"/>
        <v>0.52500000000000002</v>
      </c>
      <c r="F215" s="173">
        <f t="shared" si="11"/>
        <v>16.274999999999999</v>
      </c>
      <c r="G215" s="173">
        <f t="shared" si="8"/>
        <v>63</v>
      </c>
    </row>
    <row r="216" spans="1:7" x14ac:dyDescent="0.2">
      <c r="B216" s="168">
        <f t="shared" si="9"/>
        <v>9</v>
      </c>
      <c r="C216" s="173">
        <f t="shared" si="7"/>
        <v>63</v>
      </c>
      <c r="D216" s="173">
        <f t="shared" si="12"/>
        <v>15.75</v>
      </c>
      <c r="E216" s="173">
        <f t="shared" si="10"/>
        <v>0.42000000000000004</v>
      </c>
      <c r="F216" s="173">
        <f t="shared" si="11"/>
        <v>16.170000000000002</v>
      </c>
      <c r="G216" s="173">
        <f t="shared" si="8"/>
        <v>47.25</v>
      </c>
    </row>
    <row r="217" spans="1:7" x14ac:dyDescent="0.2">
      <c r="B217" s="168">
        <f t="shared" ref="B217:B219" si="13">B216+1</f>
        <v>10</v>
      </c>
      <c r="C217" s="173">
        <f t="shared" si="7"/>
        <v>47.25</v>
      </c>
      <c r="D217" s="173">
        <f t="shared" si="12"/>
        <v>15.75</v>
      </c>
      <c r="E217" s="173">
        <f t="shared" si="10"/>
        <v>0.315</v>
      </c>
      <c r="F217" s="173">
        <f t="shared" si="11"/>
        <v>16.065000000000001</v>
      </c>
      <c r="G217" s="173">
        <f t="shared" si="8"/>
        <v>31.5</v>
      </c>
    </row>
    <row r="218" spans="1:7" x14ac:dyDescent="0.2">
      <c r="B218" s="168">
        <f t="shared" si="13"/>
        <v>11</v>
      </c>
      <c r="C218" s="173">
        <f t="shared" si="7"/>
        <v>31.5</v>
      </c>
      <c r="D218" s="173">
        <f t="shared" si="12"/>
        <v>15.75</v>
      </c>
      <c r="E218" s="173">
        <f t="shared" si="10"/>
        <v>0.21000000000000002</v>
      </c>
      <c r="F218" s="173">
        <f t="shared" si="11"/>
        <v>15.96</v>
      </c>
      <c r="G218" s="173">
        <f t="shared" si="8"/>
        <v>15.75</v>
      </c>
    </row>
    <row r="219" spans="1:7" x14ac:dyDescent="0.2">
      <c r="B219" s="168">
        <f t="shared" si="13"/>
        <v>12</v>
      </c>
      <c r="C219" s="173">
        <f t="shared" si="7"/>
        <v>15.75</v>
      </c>
      <c r="D219" s="173">
        <f t="shared" si="12"/>
        <v>15.75</v>
      </c>
      <c r="E219" s="173">
        <f t="shared" si="10"/>
        <v>0.10500000000000001</v>
      </c>
      <c r="F219" s="173">
        <f t="shared" si="11"/>
        <v>15.855</v>
      </c>
      <c r="G219" s="173">
        <f t="shared" si="8"/>
        <v>0</v>
      </c>
    </row>
    <row r="220" spans="1:7" x14ac:dyDescent="0.2">
      <c r="C220" s="175"/>
      <c r="D220" s="175"/>
      <c r="E220" s="175"/>
      <c r="F220" s="175"/>
      <c r="G220" s="175"/>
    </row>
    <row r="221" spans="1:7" x14ac:dyDescent="0.2">
      <c r="A221" s="93" t="s">
        <v>1579</v>
      </c>
      <c r="C221" s="175"/>
      <c r="D221" s="175"/>
      <c r="E221" s="175"/>
      <c r="F221" s="175"/>
      <c r="G221" s="175"/>
    </row>
    <row r="222" spans="1:7" x14ac:dyDescent="0.2">
      <c r="A222" s="92" t="s">
        <v>1580</v>
      </c>
      <c r="C222" s="175"/>
      <c r="D222" s="175"/>
      <c r="E222" s="175"/>
      <c r="F222" s="175"/>
      <c r="G222" s="175"/>
    </row>
    <row r="223" spans="1:7" x14ac:dyDescent="0.2">
      <c r="A223" s="92" t="s">
        <v>1581</v>
      </c>
      <c r="C223" s="175"/>
      <c r="D223" s="175"/>
      <c r="E223" s="175"/>
      <c r="F223" s="175"/>
      <c r="G223" s="175"/>
    </row>
    <row r="224" spans="1:7" x14ac:dyDescent="0.2">
      <c r="A224" s="92" t="s">
        <v>1582</v>
      </c>
      <c r="C224" s="175"/>
      <c r="D224" s="175"/>
      <c r="E224" s="175"/>
      <c r="F224" s="175"/>
      <c r="G224" s="175"/>
    </row>
    <row r="225" spans="1:11" x14ac:dyDescent="0.2">
      <c r="A225" s="92" t="s">
        <v>1583</v>
      </c>
      <c r="C225" s="175"/>
      <c r="D225" s="175"/>
      <c r="E225" s="175"/>
      <c r="F225" s="175"/>
      <c r="G225" s="175"/>
    </row>
    <row r="226" spans="1:11" x14ac:dyDescent="0.2">
      <c r="A226" s="92" t="s">
        <v>1584</v>
      </c>
      <c r="C226" s="175"/>
      <c r="D226" s="175"/>
      <c r="E226" s="175"/>
      <c r="F226" s="175"/>
      <c r="G226" s="175"/>
    </row>
    <row r="227" spans="1:11" x14ac:dyDescent="0.2">
      <c r="A227" s="92" t="s">
        <v>1585</v>
      </c>
      <c r="C227" s="175"/>
      <c r="D227" s="175"/>
      <c r="E227" s="175"/>
      <c r="F227" s="175"/>
      <c r="G227" s="175"/>
    </row>
    <row r="228" spans="1:11" x14ac:dyDescent="0.2">
      <c r="A228" s="92" t="s">
        <v>1586</v>
      </c>
      <c r="C228" s="175"/>
      <c r="D228" s="175"/>
      <c r="E228" s="175"/>
      <c r="F228" s="175"/>
      <c r="G228" s="175"/>
    </row>
    <row r="229" spans="1:11" x14ac:dyDescent="0.2">
      <c r="C229" s="175"/>
      <c r="D229" s="175"/>
      <c r="E229" s="175"/>
      <c r="F229" s="175"/>
      <c r="G229" s="175"/>
    </row>
    <row r="231" spans="1:11" x14ac:dyDescent="0.2">
      <c r="A231" s="167" t="s">
        <v>1587</v>
      </c>
      <c r="B231" s="167"/>
      <c r="C231" s="167"/>
      <c r="D231" s="167"/>
      <c r="E231" s="167"/>
      <c r="F231" s="167"/>
      <c r="G231" s="167"/>
      <c r="H231" s="167"/>
    </row>
    <row r="232" spans="1:11" x14ac:dyDescent="0.2">
      <c r="A232" s="92" t="s">
        <v>1588</v>
      </c>
    </row>
    <row r="233" spans="1:11" x14ac:dyDescent="0.2">
      <c r="A233" s="92" t="s">
        <v>1589</v>
      </c>
    </row>
    <row r="234" spans="1:11" x14ac:dyDescent="0.2">
      <c r="A234" s="92" t="s">
        <v>1590</v>
      </c>
    </row>
    <row r="236" spans="1:11" x14ac:dyDescent="0.2">
      <c r="A236" s="92" t="s">
        <v>1591</v>
      </c>
    </row>
    <row r="237" spans="1:11" ht="17" thickBot="1" x14ac:dyDescent="0.25">
      <c r="A237" s="92" t="s">
        <v>1592</v>
      </c>
    </row>
    <row r="238" spans="1:11" x14ac:dyDescent="0.2">
      <c r="A238" s="92" t="s">
        <v>1593</v>
      </c>
      <c r="G238" s="510" t="s">
        <v>1594</v>
      </c>
      <c r="H238" s="511"/>
      <c r="I238" s="511"/>
      <c r="J238" s="512">
        <f>C241</f>
        <v>3.0000000000000027E-2</v>
      </c>
      <c r="K238" s="513" t="s">
        <v>87</v>
      </c>
    </row>
    <row r="239" spans="1:11" x14ac:dyDescent="0.2">
      <c r="G239" s="514" t="s">
        <v>1595</v>
      </c>
      <c r="H239" s="515"/>
      <c r="I239" s="515"/>
      <c r="J239" s="515">
        <v>12</v>
      </c>
      <c r="K239" s="516" t="s">
        <v>89</v>
      </c>
    </row>
    <row r="240" spans="1:11" x14ac:dyDescent="0.2">
      <c r="G240" s="514" t="s">
        <v>1572</v>
      </c>
      <c r="H240" s="515"/>
      <c r="I240" s="515"/>
      <c r="J240" s="515">
        <v>500000</v>
      </c>
      <c r="K240" s="516" t="s">
        <v>281</v>
      </c>
    </row>
    <row r="241" spans="2:11" x14ac:dyDescent="0.2">
      <c r="C241" s="509">
        <f>1.12550881^0.25-1</f>
        <v>3.0000000000000027E-2</v>
      </c>
      <c r="G241" s="514" t="s">
        <v>1596</v>
      </c>
      <c r="H241" s="515"/>
      <c r="I241" s="515"/>
      <c r="J241" s="521">
        <f>PMT(J238,J239,J240,J242)</f>
        <v>-50231.042736481526</v>
      </c>
      <c r="K241" s="516" t="s">
        <v>91</v>
      </c>
    </row>
    <row r="242" spans="2:11" ht="17" thickBot="1" x14ac:dyDescent="0.25">
      <c r="G242" s="517" t="s">
        <v>1597</v>
      </c>
      <c r="H242" s="518"/>
      <c r="I242" s="518"/>
      <c r="J242" s="518">
        <v>0</v>
      </c>
      <c r="K242" s="519" t="s">
        <v>105</v>
      </c>
    </row>
    <row r="243" spans="2:11" x14ac:dyDescent="0.2">
      <c r="D243" s="105" t="s">
        <v>1540</v>
      </c>
      <c r="E243" s="105" t="s">
        <v>1542</v>
      </c>
      <c r="F243" s="105" t="s">
        <v>91</v>
      </c>
      <c r="G243" s="105" t="s">
        <v>281</v>
      </c>
    </row>
    <row r="244" spans="2:11" x14ac:dyDescent="0.2">
      <c r="D244" s="172" t="s">
        <v>1514</v>
      </c>
      <c r="E244" s="172" t="s">
        <v>1598</v>
      </c>
      <c r="F244" s="172" t="s">
        <v>1516</v>
      </c>
      <c r="G244" s="172" t="s">
        <v>1517</v>
      </c>
    </row>
    <row r="245" spans="2:11" x14ac:dyDescent="0.2">
      <c r="B245" s="169" t="s">
        <v>1495</v>
      </c>
      <c r="C245" s="169" t="s">
        <v>1496</v>
      </c>
      <c r="D245" s="169" t="s">
        <v>1497</v>
      </c>
      <c r="E245" s="169" t="s">
        <v>1498</v>
      </c>
      <c r="F245" s="169" t="s">
        <v>1499</v>
      </c>
      <c r="G245" s="169" t="s">
        <v>1500</v>
      </c>
    </row>
    <row r="246" spans="2:11" x14ac:dyDescent="0.2">
      <c r="B246" s="168">
        <v>0</v>
      </c>
      <c r="C246" s="170"/>
      <c r="D246" s="170"/>
      <c r="E246" s="170"/>
      <c r="F246" s="170"/>
      <c r="G246" s="171">
        <f>J240</f>
        <v>500000</v>
      </c>
      <c r="H246" s="112"/>
    </row>
    <row r="247" spans="2:11" x14ac:dyDescent="0.2">
      <c r="B247" s="168">
        <f>B246+1</f>
        <v>1</v>
      </c>
      <c r="C247" s="173">
        <f>J240</f>
        <v>500000</v>
      </c>
      <c r="D247" s="173">
        <f>F247-E247</f>
        <v>35231.042736481511</v>
      </c>
      <c r="E247" s="173">
        <f>C247*$J$238</f>
        <v>15000.000000000013</v>
      </c>
      <c r="F247" s="520">
        <f>-J241</f>
        <v>50231.042736481526</v>
      </c>
      <c r="G247" s="171">
        <f>C247-D247</f>
        <v>464768.95726351847</v>
      </c>
      <c r="H247" s="112"/>
    </row>
    <row r="248" spans="2:11" x14ac:dyDescent="0.2">
      <c r="B248" s="168">
        <f t="shared" ref="B248:B258" si="14">B247+1</f>
        <v>2</v>
      </c>
      <c r="C248" s="173">
        <f>G247</f>
        <v>464768.95726351847</v>
      </c>
      <c r="D248" s="173">
        <f t="shared" ref="D248:D258" si="15">F248-E248</f>
        <v>36287.974018575958</v>
      </c>
      <c r="E248" s="173">
        <f t="shared" ref="E248:E258" si="16">C248*$J$238</f>
        <v>13943.068717905566</v>
      </c>
      <c r="F248" s="173">
        <f>F247</f>
        <v>50231.042736481526</v>
      </c>
      <c r="G248" s="171">
        <f t="shared" ref="G248:G258" si="17">C248-D248</f>
        <v>428480.9832449425</v>
      </c>
      <c r="H248" s="112"/>
    </row>
    <row r="249" spans="2:11" x14ac:dyDescent="0.2">
      <c r="B249" s="168">
        <f t="shared" si="14"/>
        <v>3</v>
      </c>
      <c r="C249" s="173">
        <f t="shared" ref="C249:C258" si="18">G248</f>
        <v>428480.9832449425</v>
      </c>
      <c r="D249" s="173">
        <f t="shared" si="15"/>
        <v>37376.613239133236</v>
      </c>
      <c r="E249" s="173">
        <f t="shared" si="16"/>
        <v>12854.429497348287</v>
      </c>
      <c r="F249" s="173">
        <f t="shared" ref="F249:F258" si="19">F248</f>
        <v>50231.042736481526</v>
      </c>
      <c r="G249" s="171">
        <f t="shared" si="17"/>
        <v>391104.37000580924</v>
      </c>
      <c r="H249" s="112"/>
    </row>
    <row r="250" spans="2:11" x14ac:dyDescent="0.2">
      <c r="B250" s="168">
        <f t="shared" si="14"/>
        <v>4</v>
      </c>
      <c r="C250" s="173">
        <f t="shared" si="18"/>
        <v>391104.37000580924</v>
      </c>
      <c r="D250" s="173">
        <f t="shared" si="15"/>
        <v>38497.911636307239</v>
      </c>
      <c r="E250" s="173">
        <f t="shared" si="16"/>
        <v>11733.131100174287</v>
      </c>
      <c r="F250" s="173">
        <f t="shared" si="19"/>
        <v>50231.042736481526</v>
      </c>
      <c r="G250" s="171">
        <f t="shared" si="17"/>
        <v>352606.45836950198</v>
      </c>
      <c r="H250" s="112"/>
    </row>
    <row r="251" spans="2:11" x14ac:dyDescent="0.2">
      <c r="B251" s="168">
        <f t="shared" si="14"/>
        <v>5</v>
      </c>
      <c r="C251" s="173">
        <f t="shared" si="18"/>
        <v>352606.45836950198</v>
      </c>
      <c r="D251" s="173">
        <f t="shared" si="15"/>
        <v>39652.848985396457</v>
      </c>
      <c r="E251" s="173">
        <f t="shared" si="16"/>
        <v>10578.193751085069</v>
      </c>
      <c r="F251" s="173">
        <f t="shared" si="19"/>
        <v>50231.042736481526</v>
      </c>
      <c r="G251" s="171">
        <f t="shared" si="17"/>
        <v>312953.60938410554</v>
      </c>
      <c r="H251" s="112"/>
    </row>
    <row r="252" spans="2:11" x14ac:dyDescent="0.2">
      <c r="B252" s="168">
        <f t="shared" si="14"/>
        <v>6</v>
      </c>
      <c r="C252" s="173">
        <f t="shared" si="18"/>
        <v>312953.60938410554</v>
      </c>
      <c r="D252" s="173">
        <f t="shared" si="15"/>
        <v>40842.434454958347</v>
      </c>
      <c r="E252" s="173">
        <f t="shared" si="16"/>
        <v>9388.6082815231748</v>
      </c>
      <c r="F252" s="173">
        <f t="shared" si="19"/>
        <v>50231.042736481526</v>
      </c>
      <c r="G252" s="171">
        <f t="shared" si="17"/>
        <v>272111.17492914718</v>
      </c>
      <c r="H252" s="112"/>
    </row>
    <row r="253" spans="2:11" x14ac:dyDescent="0.2">
      <c r="B253" s="168">
        <f t="shared" si="14"/>
        <v>7</v>
      </c>
      <c r="C253" s="173">
        <f t="shared" si="18"/>
        <v>272111.17492914718</v>
      </c>
      <c r="D253" s="173">
        <f t="shared" si="15"/>
        <v>42067.707488607106</v>
      </c>
      <c r="E253" s="173">
        <f t="shared" si="16"/>
        <v>8163.3352478744227</v>
      </c>
      <c r="F253" s="173">
        <f t="shared" si="19"/>
        <v>50231.042736481526</v>
      </c>
      <c r="G253" s="171">
        <f t="shared" si="17"/>
        <v>230043.46744054009</v>
      </c>
      <c r="H253" s="112"/>
    </row>
    <row r="254" spans="2:11" x14ac:dyDescent="0.2">
      <c r="B254" s="168">
        <f t="shared" si="14"/>
        <v>8</v>
      </c>
      <c r="C254" s="173">
        <f t="shared" si="18"/>
        <v>230043.46744054009</v>
      </c>
      <c r="D254" s="173">
        <f t="shared" si="15"/>
        <v>43329.738713265317</v>
      </c>
      <c r="E254" s="173">
        <f t="shared" si="16"/>
        <v>6901.3040232162084</v>
      </c>
      <c r="F254" s="173">
        <f t="shared" si="19"/>
        <v>50231.042736481526</v>
      </c>
      <c r="G254" s="171">
        <f t="shared" si="17"/>
        <v>186713.72872727478</v>
      </c>
      <c r="H254" s="112"/>
    </row>
    <row r="255" spans="2:11" x14ac:dyDescent="0.2">
      <c r="B255" s="168">
        <f t="shared" si="14"/>
        <v>9</v>
      </c>
      <c r="C255" s="173">
        <f t="shared" si="18"/>
        <v>186713.72872727478</v>
      </c>
      <c r="D255" s="173">
        <f t="shared" si="15"/>
        <v>44629.630874663279</v>
      </c>
      <c r="E255" s="173">
        <f t="shared" si="16"/>
        <v>5601.4118618182483</v>
      </c>
      <c r="F255" s="173">
        <f t="shared" si="19"/>
        <v>50231.042736481526</v>
      </c>
      <c r="G255" s="171">
        <f t="shared" si="17"/>
        <v>142084.09785261151</v>
      </c>
      <c r="H255" s="112"/>
    </row>
    <row r="256" spans="2:11" x14ac:dyDescent="0.2">
      <c r="B256" s="168">
        <f t="shared" si="14"/>
        <v>10</v>
      </c>
      <c r="C256" s="173">
        <f t="shared" si="18"/>
        <v>142084.09785261151</v>
      </c>
      <c r="D256" s="173">
        <f t="shared" si="15"/>
        <v>45968.519800903174</v>
      </c>
      <c r="E256" s="173">
        <f t="shared" si="16"/>
        <v>4262.5229355783486</v>
      </c>
      <c r="F256" s="173">
        <f t="shared" si="19"/>
        <v>50231.042736481526</v>
      </c>
      <c r="G256" s="171">
        <f t="shared" si="17"/>
        <v>96115.578051708333</v>
      </c>
      <c r="H256" s="112"/>
    </row>
    <row r="257" spans="1:8" x14ac:dyDescent="0.2">
      <c r="B257" s="168">
        <f t="shared" si="14"/>
        <v>11</v>
      </c>
      <c r="C257" s="173">
        <f t="shared" si="18"/>
        <v>96115.578051708333</v>
      </c>
      <c r="D257" s="173">
        <f t="shared" si="15"/>
        <v>47347.575394930274</v>
      </c>
      <c r="E257" s="173">
        <f t="shared" si="16"/>
        <v>2883.4673415512525</v>
      </c>
      <c r="F257" s="173">
        <f t="shared" si="19"/>
        <v>50231.042736481526</v>
      </c>
      <c r="G257" s="171">
        <f t="shared" si="17"/>
        <v>48768.002656778059</v>
      </c>
      <c r="H257" s="112"/>
    </row>
    <row r="258" spans="1:8" x14ac:dyDescent="0.2">
      <c r="B258" s="168">
        <f t="shared" si="14"/>
        <v>12</v>
      </c>
      <c r="C258" s="173">
        <f t="shared" si="18"/>
        <v>48768.002656778059</v>
      </c>
      <c r="D258" s="173">
        <f t="shared" si="15"/>
        <v>48768.002656778182</v>
      </c>
      <c r="E258" s="173">
        <f t="shared" si="16"/>
        <v>1463.0400797033431</v>
      </c>
      <c r="F258" s="173">
        <f t="shared" si="19"/>
        <v>50231.042736481526</v>
      </c>
      <c r="G258" s="171">
        <f t="shared" si="17"/>
        <v>-1.2369127944111824E-10</v>
      </c>
      <c r="H258" s="112"/>
    </row>
    <row r="260" spans="1:8" x14ac:dyDescent="0.2">
      <c r="A260" s="167" t="s">
        <v>1599</v>
      </c>
      <c r="B260" s="167"/>
      <c r="C260" s="167"/>
      <c r="D260" s="167"/>
      <c r="E260" s="167"/>
      <c r="F260" s="167"/>
      <c r="G260" s="167"/>
      <c r="H260" s="167"/>
    </row>
    <row r="261" spans="1:8" x14ac:dyDescent="0.2">
      <c r="A261" s="92" t="s">
        <v>1600</v>
      </c>
    </row>
    <row r="262" spans="1:8" x14ac:dyDescent="0.2">
      <c r="A262" s="92" t="s">
        <v>1601</v>
      </c>
    </row>
    <row r="263" spans="1:8" x14ac:dyDescent="0.2">
      <c r="A263" s="92" t="s">
        <v>326</v>
      </c>
    </row>
    <row r="264" spans="1:8" x14ac:dyDescent="0.2">
      <c r="A264" s="92" t="s">
        <v>1521</v>
      </c>
    </row>
    <row r="265" spans="1:8" x14ac:dyDescent="0.2">
      <c r="A265" s="92" t="s">
        <v>1602</v>
      </c>
    </row>
    <row r="266" spans="1:8" x14ac:dyDescent="0.2">
      <c r="A266" s="92" t="s">
        <v>1603</v>
      </c>
    </row>
    <row r="267" spans="1:8" x14ac:dyDescent="0.2">
      <c r="A267" s="92" t="s">
        <v>1604</v>
      </c>
    </row>
    <row r="269" spans="1:8" x14ac:dyDescent="0.2">
      <c r="A269" s="92" t="s">
        <v>1605</v>
      </c>
      <c r="B269" s="92" t="s">
        <v>617</v>
      </c>
      <c r="C269" s="174">
        <f>-PMT(0.7%,20*12,300000,0)</f>
        <v>2584.513486051419</v>
      </c>
    </row>
    <row r="270" spans="1:8" x14ac:dyDescent="0.2">
      <c r="B270" s="92" t="s">
        <v>616</v>
      </c>
      <c r="C270" s="174">
        <f>-PPMT(0.7%,39,20*12,300000,0)</f>
        <v>631.57619262370019</v>
      </c>
    </row>
    <row r="271" spans="1:8" x14ac:dyDescent="0.2">
      <c r="B271" s="92" t="s">
        <v>1418</v>
      </c>
      <c r="C271" s="174">
        <f>-IPMT(0.7%,52,20*12,300000,0)</f>
        <v>1892.9869213033057</v>
      </c>
    </row>
    <row r="272" spans="1:8" x14ac:dyDescent="0.2">
      <c r="B272" s="92" t="s">
        <v>1420</v>
      </c>
      <c r="C272" s="174">
        <f>PV(0.7%,20*12-74,-C269,0)</f>
        <v>253234.73111197984</v>
      </c>
    </row>
    <row r="274" spans="1:8" x14ac:dyDescent="0.2">
      <c r="A274" s="167" t="s">
        <v>1606</v>
      </c>
      <c r="B274" s="167"/>
      <c r="C274" s="167"/>
      <c r="D274" s="167"/>
      <c r="E274" s="167"/>
      <c r="F274" s="167"/>
      <c r="G274" s="167"/>
      <c r="H274" s="167"/>
    </row>
    <row r="275" spans="1:8" x14ac:dyDescent="0.2">
      <c r="A275" s="92" t="s">
        <v>1607</v>
      </c>
    </row>
    <row r="276" spans="1:8" x14ac:dyDescent="0.2">
      <c r="A276" s="92" t="s">
        <v>1608</v>
      </c>
    </row>
    <row r="277" spans="1:8" x14ac:dyDescent="0.2">
      <c r="A277" s="92" t="s">
        <v>326</v>
      </c>
    </row>
    <row r="278" spans="1:8" x14ac:dyDescent="0.2">
      <c r="A278" s="92" t="s">
        <v>1609</v>
      </c>
    </row>
    <row r="279" spans="1:8" x14ac:dyDescent="0.2">
      <c r="A279" s="92" t="s">
        <v>1610</v>
      </c>
    </row>
    <row r="280" spans="1:8" x14ac:dyDescent="0.2">
      <c r="A280" s="92" t="s">
        <v>1611</v>
      </c>
    </row>
    <row r="281" spans="1:8" x14ac:dyDescent="0.2">
      <c r="A281" s="92" t="s">
        <v>1612</v>
      </c>
    </row>
    <row r="283" spans="1:8" x14ac:dyDescent="0.2">
      <c r="A283" s="92" t="s">
        <v>1613</v>
      </c>
    </row>
    <row r="285" spans="1:8" x14ac:dyDescent="0.2">
      <c r="C285" s="172" t="s">
        <v>1514</v>
      </c>
      <c r="D285" s="172" t="s">
        <v>1598</v>
      </c>
      <c r="E285" s="172" t="s">
        <v>1516</v>
      </c>
      <c r="F285" s="172" t="s">
        <v>1517</v>
      </c>
    </row>
    <row r="286" spans="1:8" x14ac:dyDescent="0.2">
      <c r="A286" s="169" t="s">
        <v>1495</v>
      </c>
      <c r="B286" s="169" t="s">
        <v>1496</v>
      </c>
      <c r="C286" s="169" t="s">
        <v>1497</v>
      </c>
      <c r="D286" s="169" t="s">
        <v>1498</v>
      </c>
      <c r="E286" s="169" t="s">
        <v>1499</v>
      </c>
      <c r="F286" s="169" t="s">
        <v>1500</v>
      </c>
    </row>
    <row r="287" spans="1:8" x14ac:dyDescent="0.2">
      <c r="A287" s="168">
        <v>0</v>
      </c>
      <c r="B287" s="170"/>
      <c r="C287" s="170"/>
      <c r="D287" s="170"/>
      <c r="E287" s="170"/>
      <c r="F287" s="171">
        <v>200000</v>
      </c>
    </row>
    <row r="288" spans="1:8" x14ac:dyDescent="0.2">
      <c r="A288" s="168">
        <f>A287+1</f>
        <v>1</v>
      </c>
      <c r="B288" s="171">
        <f>F287</f>
        <v>200000</v>
      </c>
      <c r="C288" s="176">
        <f>F287/10</f>
        <v>20000</v>
      </c>
      <c r="D288" s="171">
        <f>B288*7%</f>
        <v>14000.000000000002</v>
      </c>
      <c r="E288" s="171">
        <f>C288+D288</f>
        <v>34000</v>
      </c>
      <c r="F288" s="171">
        <f>B288-C288</f>
        <v>180000</v>
      </c>
      <c r="G288" s="92" t="s">
        <v>1614</v>
      </c>
    </row>
    <row r="289" spans="1:8" x14ac:dyDescent="0.2">
      <c r="A289" s="168">
        <f t="shared" ref="A289:A297" si="20">A288+1</f>
        <v>2</v>
      </c>
      <c r="B289" s="171">
        <f t="shared" ref="B289:B297" si="21">F288</f>
        <v>180000</v>
      </c>
      <c r="C289" s="171">
        <f>C288</f>
        <v>20000</v>
      </c>
      <c r="D289" s="171">
        <f t="shared" ref="D289:D292" si="22">B289*7%</f>
        <v>12600.000000000002</v>
      </c>
      <c r="E289" s="171">
        <f t="shared" ref="E289:E297" si="23">C289+D289</f>
        <v>32600</v>
      </c>
      <c r="F289" s="171">
        <f t="shared" ref="F289:F293" si="24">B289-C289</f>
        <v>160000</v>
      </c>
    </row>
    <row r="290" spans="1:8" x14ac:dyDescent="0.2">
      <c r="A290" s="168">
        <f t="shared" si="20"/>
        <v>3</v>
      </c>
      <c r="B290" s="171">
        <f t="shared" si="21"/>
        <v>160000</v>
      </c>
      <c r="C290" s="171">
        <f t="shared" ref="C290:C297" si="25">C289</f>
        <v>20000</v>
      </c>
      <c r="D290" s="171">
        <f t="shared" si="22"/>
        <v>11200.000000000002</v>
      </c>
      <c r="E290" s="171">
        <f t="shared" si="23"/>
        <v>31200</v>
      </c>
      <c r="F290" s="171">
        <f t="shared" si="24"/>
        <v>140000</v>
      </c>
    </row>
    <row r="291" spans="1:8" x14ac:dyDescent="0.2">
      <c r="A291" s="168">
        <f t="shared" si="20"/>
        <v>4</v>
      </c>
      <c r="B291" s="171">
        <f t="shared" si="21"/>
        <v>140000</v>
      </c>
      <c r="C291" s="171">
        <f t="shared" si="25"/>
        <v>20000</v>
      </c>
      <c r="D291" s="171">
        <f t="shared" si="22"/>
        <v>9800.0000000000018</v>
      </c>
      <c r="E291" s="171">
        <f t="shared" si="23"/>
        <v>29800</v>
      </c>
      <c r="F291" s="171">
        <f t="shared" si="24"/>
        <v>120000</v>
      </c>
    </row>
    <row r="292" spans="1:8" x14ac:dyDescent="0.2">
      <c r="A292" s="168">
        <f t="shared" si="20"/>
        <v>5</v>
      </c>
      <c r="B292" s="171">
        <f t="shared" si="21"/>
        <v>120000</v>
      </c>
      <c r="C292" s="171">
        <f t="shared" si="25"/>
        <v>20000</v>
      </c>
      <c r="D292" s="171">
        <f t="shared" si="22"/>
        <v>8400</v>
      </c>
      <c r="E292" s="171">
        <f t="shared" si="23"/>
        <v>28400</v>
      </c>
      <c r="F292" s="171">
        <f t="shared" si="24"/>
        <v>100000</v>
      </c>
    </row>
    <row r="293" spans="1:8" x14ac:dyDescent="0.2">
      <c r="A293" s="168">
        <f t="shared" si="20"/>
        <v>6</v>
      </c>
      <c r="B293" s="171">
        <f t="shared" si="21"/>
        <v>100000</v>
      </c>
      <c r="C293" s="171">
        <f t="shared" si="25"/>
        <v>20000</v>
      </c>
      <c r="D293" s="176">
        <f>B293*7%</f>
        <v>7000.0000000000009</v>
      </c>
      <c r="E293" s="171">
        <f t="shared" si="23"/>
        <v>27000</v>
      </c>
      <c r="F293" s="171">
        <f t="shared" si="24"/>
        <v>80000</v>
      </c>
      <c r="G293" s="92" t="s">
        <v>1615</v>
      </c>
    </row>
    <row r="294" spans="1:8" x14ac:dyDescent="0.2">
      <c r="A294" s="168">
        <f t="shared" si="20"/>
        <v>7</v>
      </c>
      <c r="B294" s="171">
        <f t="shared" si="21"/>
        <v>80000</v>
      </c>
      <c r="C294" s="171">
        <f t="shared" si="25"/>
        <v>20000</v>
      </c>
      <c r="D294" s="171">
        <f>B294*7%</f>
        <v>5600.0000000000009</v>
      </c>
      <c r="E294" s="171">
        <f t="shared" si="23"/>
        <v>25600</v>
      </c>
      <c r="F294" s="176">
        <f>B294-C294</f>
        <v>60000</v>
      </c>
      <c r="G294" s="92" t="s">
        <v>1616</v>
      </c>
    </row>
    <row r="295" spans="1:8" x14ac:dyDescent="0.2">
      <c r="A295" s="168">
        <f t="shared" si="20"/>
        <v>8</v>
      </c>
      <c r="B295" s="171">
        <f t="shared" si="21"/>
        <v>60000</v>
      </c>
      <c r="C295" s="171">
        <f t="shared" si="25"/>
        <v>20000</v>
      </c>
      <c r="D295" s="171">
        <f t="shared" ref="D295:D297" si="26">B295*7%</f>
        <v>4200</v>
      </c>
      <c r="E295" s="171">
        <f t="shared" si="23"/>
        <v>24200</v>
      </c>
      <c r="F295" s="171">
        <f>B295-C295</f>
        <v>40000</v>
      </c>
    </row>
    <row r="296" spans="1:8" x14ac:dyDescent="0.2">
      <c r="A296" s="168">
        <f t="shared" si="20"/>
        <v>9</v>
      </c>
      <c r="B296" s="171">
        <f t="shared" si="21"/>
        <v>40000</v>
      </c>
      <c r="C296" s="171">
        <f t="shared" si="25"/>
        <v>20000</v>
      </c>
      <c r="D296" s="171">
        <f t="shared" si="26"/>
        <v>2800.0000000000005</v>
      </c>
      <c r="E296" s="171">
        <f t="shared" si="23"/>
        <v>22800</v>
      </c>
      <c r="F296" s="171">
        <f t="shared" ref="F296:F297" si="27">B296-C296</f>
        <v>20000</v>
      </c>
    </row>
    <row r="297" spans="1:8" x14ac:dyDescent="0.2">
      <c r="A297" s="168">
        <f t="shared" si="20"/>
        <v>10</v>
      </c>
      <c r="B297" s="171">
        <f t="shared" si="21"/>
        <v>20000</v>
      </c>
      <c r="C297" s="171">
        <f t="shared" si="25"/>
        <v>20000</v>
      </c>
      <c r="D297" s="171">
        <f t="shared" si="26"/>
        <v>1400.0000000000002</v>
      </c>
      <c r="E297" s="171">
        <f t="shared" si="23"/>
        <v>21400</v>
      </c>
      <c r="F297" s="171">
        <f t="shared" si="27"/>
        <v>0</v>
      </c>
    </row>
    <row r="299" spans="1:8" x14ac:dyDescent="0.2">
      <c r="A299" s="167" t="s">
        <v>1617</v>
      </c>
      <c r="B299" s="167"/>
      <c r="C299" s="167"/>
      <c r="D299" s="167"/>
      <c r="E299" s="167"/>
      <c r="F299" s="167"/>
      <c r="G299" s="167"/>
      <c r="H299" s="167"/>
    </row>
    <row r="300" spans="1:8" x14ac:dyDescent="0.2">
      <c r="A300" s="92" t="s">
        <v>1618</v>
      </c>
    </row>
    <row r="301" spans="1:8" x14ac:dyDescent="0.2">
      <c r="A301" s="92" t="s">
        <v>1619</v>
      </c>
    </row>
    <row r="302" spans="1:8" x14ac:dyDescent="0.2">
      <c r="A302" s="92" t="s">
        <v>326</v>
      </c>
    </row>
    <row r="303" spans="1:8" x14ac:dyDescent="0.2">
      <c r="A303" s="92" t="s">
        <v>1620</v>
      </c>
    </row>
    <row r="304" spans="1:8" x14ac:dyDescent="0.2">
      <c r="A304" s="92" t="s">
        <v>1621</v>
      </c>
    </row>
    <row r="305" spans="1:7" x14ac:dyDescent="0.2">
      <c r="A305" s="92" t="s">
        <v>1622</v>
      </c>
    </row>
    <row r="306" spans="1:7" x14ac:dyDescent="0.2">
      <c r="A306" s="92" t="s">
        <v>1623</v>
      </c>
    </row>
    <row r="307" spans="1:7" x14ac:dyDescent="0.2">
      <c r="A307" s="92" t="s">
        <v>1624</v>
      </c>
    </row>
    <row r="309" spans="1:7" x14ac:dyDescent="0.2">
      <c r="A309" s="92" t="s">
        <v>111</v>
      </c>
    </row>
    <row r="311" spans="1:7" x14ac:dyDescent="0.2">
      <c r="A311" s="92" t="s">
        <v>1114</v>
      </c>
      <c r="D311" s="132">
        <v>0.08</v>
      </c>
      <c r="E311" s="92" t="s">
        <v>374</v>
      </c>
    </row>
    <row r="312" spans="1:7" x14ac:dyDescent="0.2">
      <c r="D312" s="92">
        <f>6</f>
        <v>6</v>
      </c>
      <c r="E312" s="92" t="s">
        <v>89</v>
      </c>
    </row>
    <row r="313" spans="1:7" x14ac:dyDescent="0.2">
      <c r="D313" s="92">
        <v>500000</v>
      </c>
      <c r="E313" s="92" t="s">
        <v>281</v>
      </c>
    </row>
    <row r="314" spans="1:7" x14ac:dyDescent="0.2">
      <c r="D314" s="257">
        <f>PMT(D311,D312,D313,D315)</f>
        <v>-108157.69311450492</v>
      </c>
      <c r="E314" s="92" t="s">
        <v>91</v>
      </c>
    </row>
    <row r="315" spans="1:7" x14ac:dyDescent="0.2">
      <c r="D315" s="92">
        <v>0</v>
      </c>
      <c r="E315" s="92" t="s">
        <v>105</v>
      </c>
    </row>
    <row r="318" spans="1:7" x14ac:dyDescent="0.2">
      <c r="A318" s="92" t="s">
        <v>710</v>
      </c>
      <c r="B318" s="92" t="s">
        <v>570</v>
      </c>
      <c r="C318" s="92" t="s">
        <v>1496</v>
      </c>
      <c r="D318" s="92" t="s">
        <v>1497</v>
      </c>
      <c r="E318" s="92" t="s">
        <v>1498</v>
      </c>
      <c r="F318" s="92" t="s">
        <v>1499</v>
      </c>
      <c r="G318" s="92" t="s">
        <v>1500</v>
      </c>
    </row>
    <row r="319" spans="1:7" x14ac:dyDescent="0.2">
      <c r="B319" s="92">
        <v>0</v>
      </c>
      <c r="G319" s="92">
        <v>500000</v>
      </c>
    </row>
    <row r="320" spans="1:7" x14ac:dyDescent="0.2">
      <c r="B320" s="92">
        <f>B319+1</f>
        <v>1</v>
      </c>
      <c r="C320" s="92">
        <f>G319</f>
        <v>500000</v>
      </c>
      <c r="D320" s="109">
        <f>F320-E320</f>
        <v>68157.693114504917</v>
      </c>
      <c r="E320" s="92">
        <f>G319*$D$311</f>
        <v>40000</v>
      </c>
      <c r="F320" s="109">
        <f>-D314</f>
        <v>108157.69311450492</v>
      </c>
      <c r="G320" s="109">
        <f>C320-D320</f>
        <v>431842.30688549508</v>
      </c>
    </row>
    <row r="321" spans="1:7" x14ac:dyDescent="0.2">
      <c r="B321" s="92">
        <f t="shared" ref="B321:B325" si="28">B320+1</f>
        <v>2</v>
      </c>
      <c r="C321" s="522">
        <f t="shared" ref="C321:C325" si="29">G320</f>
        <v>431842.30688549508</v>
      </c>
      <c r="D321" s="109">
        <f t="shared" ref="D321:D325" si="30">F321-E321</f>
        <v>73610.308563665312</v>
      </c>
      <c r="E321" s="522">
        <f t="shared" ref="E321:E325" si="31">G320*$D$311</f>
        <v>34547.384550839604</v>
      </c>
      <c r="F321" s="109">
        <f>F320</f>
        <v>108157.69311450492</v>
      </c>
      <c r="G321" s="109">
        <f t="shared" ref="G321:G325" si="32">C321-D321</f>
        <v>358231.99832182977</v>
      </c>
    </row>
    <row r="322" spans="1:7" x14ac:dyDescent="0.2">
      <c r="B322" s="92">
        <f t="shared" si="28"/>
        <v>3</v>
      </c>
      <c r="C322" s="522">
        <f t="shared" si="29"/>
        <v>358231.99832182977</v>
      </c>
      <c r="D322" s="109">
        <f t="shared" si="30"/>
        <v>79499.133248758531</v>
      </c>
      <c r="E322" s="522">
        <f t="shared" si="31"/>
        <v>28658.559865746382</v>
      </c>
      <c r="F322" s="109">
        <f t="shared" ref="F322:F325" si="33">F321</f>
        <v>108157.69311450492</v>
      </c>
      <c r="G322" s="109">
        <f t="shared" si="32"/>
        <v>278732.86507307121</v>
      </c>
    </row>
    <row r="323" spans="1:7" x14ac:dyDescent="0.2">
      <c r="B323" s="92">
        <f t="shared" si="28"/>
        <v>4</v>
      </c>
      <c r="C323" s="522">
        <f t="shared" si="29"/>
        <v>278732.86507307121</v>
      </c>
      <c r="D323" s="109">
        <f t="shared" si="30"/>
        <v>85859.063908659213</v>
      </c>
      <c r="E323" s="522">
        <f t="shared" si="31"/>
        <v>22298.629205845697</v>
      </c>
      <c r="F323" s="109">
        <f t="shared" si="33"/>
        <v>108157.69311450492</v>
      </c>
      <c r="G323" s="109">
        <f t="shared" si="32"/>
        <v>192873.801164412</v>
      </c>
    </row>
    <row r="324" spans="1:7" x14ac:dyDescent="0.2">
      <c r="B324" s="92">
        <f t="shared" si="28"/>
        <v>5</v>
      </c>
      <c r="C324" s="522">
        <f t="shared" si="29"/>
        <v>192873.801164412</v>
      </c>
      <c r="D324" s="109">
        <f t="shared" si="30"/>
        <v>92727.789021351957</v>
      </c>
      <c r="E324" s="522">
        <f t="shared" si="31"/>
        <v>15429.90409315296</v>
      </c>
      <c r="F324" s="109">
        <f t="shared" si="33"/>
        <v>108157.69311450492</v>
      </c>
      <c r="G324" s="109">
        <f t="shared" si="32"/>
        <v>100146.01214306004</v>
      </c>
    </row>
    <row r="325" spans="1:7" x14ac:dyDescent="0.2">
      <c r="B325" s="92">
        <f t="shared" si="28"/>
        <v>6</v>
      </c>
      <c r="C325" s="522">
        <f t="shared" si="29"/>
        <v>100146.01214306004</v>
      </c>
      <c r="D325" s="109">
        <f t="shared" si="30"/>
        <v>100146.01214306011</v>
      </c>
      <c r="E325" s="522">
        <f t="shared" si="31"/>
        <v>8011.6809714448036</v>
      </c>
      <c r="F325" s="109">
        <f t="shared" si="33"/>
        <v>108157.69311450492</v>
      </c>
      <c r="G325" s="109">
        <f t="shared" si="32"/>
        <v>0</v>
      </c>
    </row>
    <row r="327" spans="1:7" x14ac:dyDescent="0.2">
      <c r="A327" s="92" t="s">
        <v>1118</v>
      </c>
      <c r="B327" s="92" t="s">
        <v>1625</v>
      </c>
      <c r="F327" s="132">
        <v>0.08</v>
      </c>
      <c r="G327" s="92" t="s">
        <v>374</v>
      </c>
    </row>
    <row r="328" spans="1:7" x14ac:dyDescent="0.2">
      <c r="F328" s="92">
        <v>3</v>
      </c>
      <c r="G328" s="92" t="s">
        <v>89</v>
      </c>
    </row>
    <row r="329" spans="1:7" x14ac:dyDescent="0.2">
      <c r="E329" s="92" t="s">
        <v>1626</v>
      </c>
      <c r="F329" s="523">
        <f>PV(F327,F328,F330,F331)</f>
        <v>278732.86507307144</v>
      </c>
      <c r="G329" s="92" t="s">
        <v>281</v>
      </c>
    </row>
    <row r="330" spans="1:7" x14ac:dyDescent="0.2">
      <c r="F330" s="257">
        <f>D314</f>
        <v>-108157.69311450492</v>
      </c>
      <c r="G330" s="92" t="s">
        <v>91</v>
      </c>
    </row>
    <row r="331" spans="1:7" x14ac:dyDescent="0.2">
      <c r="F331" s="92">
        <v>0</v>
      </c>
      <c r="G331" s="92" t="s">
        <v>105</v>
      </c>
    </row>
    <row r="333" spans="1:7" x14ac:dyDescent="0.2">
      <c r="A333" s="92" t="s">
        <v>1627</v>
      </c>
      <c r="B333" s="92" t="s">
        <v>1628</v>
      </c>
      <c r="F333" s="104">
        <f>F327</f>
        <v>0.08</v>
      </c>
      <c r="G333" s="92" t="s">
        <v>87</v>
      </c>
    </row>
    <row r="334" spans="1:7" x14ac:dyDescent="0.2">
      <c r="F334" s="105">
        <v>6</v>
      </c>
      <c r="G334" s="92" t="s">
        <v>89</v>
      </c>
    </row>
    <row r="335" spans="1:7" x14ac:dyDescent="0.2">
      <c r="F335" s="105">
        <f>D313</f>
        <v>500000</v>
      </c>
      <c r="G335" s="92" t="s">
        <v>281</v>
      </c>
    </row>
    <row r="336" spans="1:7" x14ac:dyDescent="0.2">
      <c r="F336" s="105">
        <f>I327</f>
        <v>0</v>
      </c>
      <c r="G336" s="92" t="s">
        <v>105</v>
      </c>
    </row>
    <row r="337" spans="1:8" x14ac:dyDescent="0.2">
      <c r="F337" s="105">
        <v>3</v>
      </c>
      <c r="G337" s="92" t="s">
        <v>1538</v>
      </c>
    </row>
    <row r="338" spans="1:8" x14ac:dyDescent="0.2">
      <c r="E338" s="92" t="s">
        <v>1626</v>
      </c>
      <c r="F338" s="106">
        <f>PPMT(F333,F337,F334,F335,F336)</f>
        <v>-79499.133248758517</v>
      </c>
      <c r="G338" s="92" t="s">
        <v>1540</v>
      </c>
    </row>
    <row r="340" spans="1:8" x14ac:dyDescent="0.2">
      <c r="A340" s="92" t="s">
        <v>1629</v>
      </c>
      <c r="B340" s="92" t="s">
        <v>1630</v>
      </c>
    </row>
    <row r="341" spans="1:8" x14ac:dyDescent="0.2">
      <c r="F341" s="109">
        <f>F325*6</f>
        <v>648946.1586870295</v>
      </c>
      <c r="G341" s="92" t="s">
        <v>1631</v>
      </c>
    </row>
    <row r="342" spans="1:8" x14ac:dyDescent="0.2">
      <c r="B342" s="92" t="s">
        <v>1632</v>
      </c>
    </row>
    <row r="343" spans="1:8" x14ac:dyDescent="0.2">
      <c r="F343" s="109">
        <f>F335</f>
        <v>500000</v>
      </c>
    </row>
    <row r="345" spans="1:8" x14ac:dyDescent="0.2">
      <c r="B345" s="92" t="s">
        <v>1633</v>
      </c>
      <c r="F345" s="109">
        <f>F341-F343</f>
        <v>148946.1586870295</v>
      </c>
    </row>
    <row r="347" spans="1:8" x14ac:dyDescent="0.2">
      <c r="B347" s="92" t="s">
        <v>1634</v>
      </c>
    </row>
    <row r="348" spans="1:8" x14ac:dyDescent="0.2">
      <c r="B348" s="92" t="s">
        <v>1635</v>
      </c>
    </row>
    <row r="351" spans="1:8" x14ac:dyDescent="0.2">
      <c r="A351" s="167" t="s">
        <v>1636</v>
      </c>
      <c r="B351" s="167"/>
      <c r="C351" s="167"/>
      <c r="D351" s="167"/>
      <c r="E351" s="167"/>
      <c r="F351" s="167"/>
      <c r="G351" s="167"/>
      <c r="H351" s="167"/>
    </row>
    <row r="352" spans="1:8" x14ac:dyDescent="0.2">
      <c r="A352" s="92" t="s">
        <v>1637</v>
      </c>
    </row>
    <row r="353" spans="1:5" x14ac:dyDescent="0.2">
      <c r="A353" s="92" t="s">
        <v>1638</v>
      </c>
    </row>
    <row r="355" spans="1:5" x14ac:dyDescent="0.2">
      <c r="A355" s="92" t="s">
        <v>326</v>
      </c>
    </row>
    <row r="356" spans="1:5" x14ac:dyDescent="0.2">
      <c r="A356" s="92" t="s">
        <v>1639</v>
      </c>
    </row>
    <row r="357" spans="1:5" x14ac:dyDescent="0.2">
      <c r="A357" s="92" t="s">
        <v>1640</v>
      </c>
    </row>
    <row r="358" spans="1:5" x14ac:dyDescent="0.2">
      <c r="A358" s="92" t="s">
        <v>1641</v>
      </c>
    </row>
    <row r="360" spans="1:5" x14ac:dyDescent="0.2">
      <c r="A360" s="92" t="s">
        <v>1114</v>
      </c>
      <c r="D360" s="132">
        <v>0.06</v>
      </c>
      <c r="E360" s="92" t="s">
        <v>374</v>
      </c>
    </row>
    <row r="361" spans="1:5" x14ac:dyDescent="0.2">
      <c r="D361" s="92">
        <v>60</v>
      </c>
      <c r="E361" s="92" t="s">
        <v>89</v>
      </c>
    </row>
    <row r="362" spans="1:5" x14ac:dyDescent="0.2">
      <c r="D362" s="92">
        <v>80000</v>
      </c>
      <c r="E362" s="92" t="s">
        <v>281</v>
      </c>
    </row>
    <row r="363" spans="1:5" x14ac:dyDescent="0.2">
      <c r="D363" s="257">
        <f>PMT(D360,D361,D362,D364)</f>
        <v>-4950.0577213281385</v>
      </c>
      <c r="E363" s="92" t="s">
        <v>91</v>
      </c>
    </row>
    <row r="364" spans="1:5" x14ac:dyDescent="0.2">
      <c r="D364" s="92">
        <v>0</v>
      </c>
      <c r="E364" s="92" t="s">
        <v>105</v>
      </c>
    </row>
    <row r="366" spans="1:5" x14ac:dyDescent="0.2">
      <c r="A366" s="92" t="s">
        <v>1116</v>
      </c>
      <c r="D366" s="132">
        <v>0.06</v>
      </c>
      <c r="E366" s="92" t="s">
        <v>374</v>
      </c>
    </row>
    <row r="367" spans="1:5" x14ac:dyDescent="0.2">
      <c r="D367" s="92">
        <f>60-12*2</f>
        <v>36</v>
      </c>
      <c r="E367" s="92" t="s">
        <v>89</v>
      </c>
    </row>
    <row r="368" spans="1:5" x14ac:dyDescent="0.2">
      <c r="D368" s="523">
        <f>PV(D366,D367,D369,D370)</f>
        <v>72374.730254216411</v>
      </c>
      <c r="E368" s="92" t="s">
        <v>281</v>
      </c>
    </row>
    <row r="369" spans="1:8" x14ac:dyDescent="0.2">
      <c r="D369" s="257">
        <f>D363</f>
        <v>-4950.0577213281385</v>
      </c>
      <c r="E369" s="92" t="s">
        <v>91</v>
      </c>
    </row>
    <row r="370" spans="1:8" x14ac:dyDescent="0.2">
      <c r="D370" s="92">
        <v>0</v>
      </c>
      <c r="E370" s="92" t="s">
        <v>105</v>
      </c>
    </row>
    <row r="372" spans="1:8" x14ac:dyDescent="0.2">
      <c r="A372" s="92" t="s">
        <v>1118</v>
      </c>
      <c r="D372" s="104">
        <f>D366</f>
        <v>0.06</v>
      </c>
      <c r="E372" s="92" t="s">
        <v>87</v>
      </c>
    </row>
    <row r="373" spans="1:8" x14ac:dyDescent="0.2">
      <c r="D373" s="105">
        <v>60</v>
      </c>
      <c r="E373" s="92" t="s">
        <v>89</v>
      </c>
    </row>
    <row r="374" spans="1:8" x14ac:dyDescent="0.2">
      <c r="D374" s="105">
        <f>D362</f>
        <v>80000</v>
      </c>
      <c r="E374" s="92" t="s">
        <v>281</v>
      </c>
    </row>
    <row r="375" spans="1:8" x14ac:dyDescent="0.2">
      <c r="D375" s="105">
        <f>G366</f>
        <v>0</v>
      </c>
      <c r="E375" s="92" t="s">
        <v>105</v>
      </c>
    </row>
    <row r="376" spans="1:8" x14ac:dyDescent="0.2">
      <c r="A376" s="92" t="s">
        <v>1642</v>
      </c>
      <c r="D376" s="105">
        <v>32</v>
      </c>
      <c r="E376" s="92" t="s">
        <v>1538</v>
      </c>
    </row>
    <row r="377" spans="1:8" x14ac:dyDescent="0.2">
      <c r="A377" s="106">
        <f>IPMT(D372,D376,D373,D374,D375)</f>
        <v>-4036.4912115799607</v>
      </c>
      <c r="B377" s="92" t="s">
        <v>1643</v>
      </c>
      <c r="D377" s="106">
        <f>PPMT(D372,D376,D373,D374,D375)</f>
        <v>-913.56650974817819</v>
      </c>
      <c r="E377" s="92" t="s">
        <v>1540</v>
      </c>
    </row>
    <row r="378" spans="1:8" x14ac:dyDescent="0.2">
      <c r="D378" s="92" t="s">
        <v>1644</v>
      </c>
    </row>
    <row r="380" spans="1:8" x14ac:dyDescent="0.2">
      <c r="A380" s="167" t="s">
        <v>401</v>
      </c>
      <c r="B380" s="167"/>
      <c r="C380" s="167"/>
      <c r="D380" s="167"/>
      <c r="E380" s="167"/>
      <c r="F380" s="167"/>
      <c r="G380" s="167"/>
      <c r="H380" s="167"/>
    </row>
    <row r="381" spans="1:8" x14ac:dyDescent="0.2">
      <c r="A381" s="92" t="s">
        <v>1645</v>
      </c>
    </row>
    <row r="382" spans="1:8" x14ac:dyDescent="0.2">
      <c r="A382" s="92" t="s">
        <v>1646</v>
      </c>
    </row>
    <row r="383" spans="1:8" x14ac:dyDescent="0.2">
      <c r="A383" s="92" t="s">
        <v>326</v>
      </c>
    </row>
    <row r="384" spans="1:8" x14ac:dyDescent="0.2">
      <c r="A384" s="92" t="s">
        <v>1647</v>
      </c>
    </row>
    <row r="385" spans="1:7" x14ac:dyDescent="0.2">
      <c r="A385" s="92" t="s">
        <v>1648</v>
      </c>
    </row>
    <row r="387" spans="1:7" x14ac:dyDescent="0.2">
      <c r="A387" s="92" t="s">
        <v>111</v>
      </c>
    </row>
    <row r="389" spans="1:7" x14ac:dyDescent="0.2">
      <c r="A389" s="92" t="s">
        <v>2901</v>
      </c>
    </row>
    <row r="390" spans="1:7" x14ac:dyDescent="0.2">
      <c r="A390" s="92" t="s">
        <v>2902</v>
      </c>
      <c r="G390" s="92" t="s">
        <v>2898</v>
      </c>
    </row>
    <row r="391" spans="1:7" x14ac:dyDescent="0.2">
      <c r="A391" s="92" t="s">
        <v>2903</v>
      </c>
    </row>
    <row r="392" spans="1:7" x14ac:dyDescent="0.2">
      <c r="A392" s="92" t="s">
        <v>2909</v>
      </c>
      <c r="G392" s="92" t="s">
        <v>2904</v>
      </c>
    </row>
    <row r="394" spans="1:7" x14ac:dyDescent="0.2">
      <c r="A394" s="92" t="s">
        <v>1114</v>
      </c>
      <c r="B394" s="92" t="s">
        <v>1649</v>
      </c>
      <c r="D394" s="524">
        <f>150000/7</f>
        <v>21428.571428571428</v>
      </c>
      <c r="E394" s="92" t="s">
        <v>1650</v>
      </c>
      <c r="G394" s="92" t="s">
        <v>2905</v>
      </c>
    </row>
    <row r="395" spans="1:7" x14ac:dyDescent="0.2">
      <c r="B395" s="92" t="s">
        <v>1651</v>
      </c>
      <c r="D395" s="92">
        <v>4</v>
      </c>
    </row>
    <row r="396" spans="1:7" x14ac:dyDescent="0.2">
      <c r="B396" s="92" t="s">
        <v>1652</v>
      </c>
      <c r="D396" s="524">
        <f>D394*D395</f>
        <v>85714.28571428571</v>
      </c>
      <c r="F396" s="92" t="s">
        <v>1653</v>
      </c>
      <c r="G396" s="92" t="s">
        <v>2906</v>
      </c>
    </row>
    <row r="398" spans="1:7" x14ac:dyDescent="0.2">
      <c r="B398" s="92" t="s">
        <v>1654</v>
      </c>
      <c r="D398" s="109">
        <v>150000</v>
      </c>
      <c r="G398" s="92" t="s">
        <v>2907</v>
      </c>
    </row>
    <row r="399" spans="1:7" x14ac:dyDescent="0.2">
      <c r="B399" s="92" t="s">
        <v>1655</v>
      </c>
      <c r="D399" s="524">
        <f>D396</f>
        <v>85714.28571428571</v>
      </c>
      <c r="G399" s="92" t="s">
        <v>2906</v>
      </c>
    </row>
    <row r="400" spans="1:7" x14ac:dyDescent="0.2">
      <c r="B400" s="92" t="s">
        <v>1656</v>
      </c>
      <c r="D400" s="525">
        <f>D398-D399</f>
        <v>64285.71428571429</v>
      </c>
      <c r="G400" s="92" t="s">
        <v>2908</v>
      </c>
    </row>
    <row r="402" spans="1:5" x14ac:dyDescent="0.2">
      <c r="A402" s="92" t="s">
        <v>1116</v>
      </c>
      <c r="B402" s="92" t="s">
        <v>1657</v>
      </c>
    </row>
    <row r="403" spans="1:5" x14ac:dyDescent="0.2">
      <c r="B403" s="92" t="s">
        <v>1658</v>
      </c>
    </row>
    <row r="405" spans="1:5" x14ac:dyDescent="0.2">
      <c r="B405" s="92" t="s">
        <v>1649</v>
      </c>
      <c r="D405" s="524">
        <f>150000/7</f>
        <v>21428.571428571428</v>
      </c>
      <c r="E405" s="92" t="s">
        <v>1650</v>
      </c>
    </row>
    <row r="406" spans="1:5" x14ac:dyDescent="0.2">
      <c r="B406" s="92" t="s">
        <v>1651</v>
      </c>
      <c r="D406" s="92">
        <v>6</v>
      </c>
    </row>
    <row r="407" spans="1:5" x14ac:dyDescent="0.2">
      <c r="B407" s="92" t="s">
        <v>1652</v>
      </c>
      <c r="D407" s="524">
        <f>D405*D406</f>
        <v>128571.42857142857</v>
      </c>
    </row>
    <row r="409" spans="1:5" x14ac:dyDescent="0.2">
      <c r="B409" s="92" t="s">
        <v>1654</v>
      </c>
      <c r="D409" s="109">
        <v>150000</v>
      </c>
    </row>
    <row r="410" spans="1:5" x14ac:dyDescent="0.2">
      <c r="B410" s="92" t="s">
        <v>1655</v>
      </c>
      <c r="D410" s="524">
        <f>D407</f>
        <v>128571.42857142857</v>
      </c>
    </row>
    <row r="411" spans="1:5" x14ac:dyDescent="0.2">
      <c r="B411" s="92" t="s">
        <v>1659</v>
      </c>
      <c r="D411" s="526">
        <f>D409-D410</f>
        <v>21428.571428571435</v>
      </c>
      <c r="E411" s="92" t="s">
        <v>1660</v>
      </c>
    </row>
    <row r="413" spans="1:5" x14ac:dyDescent="0.2">
      <c r="B413" s="92" t="s">
        <v>1661</v>
      </c>
      <c r="D413" s="132">
        <v>0.06</v>
      </c>
    </row>
    <row r="415" spans="1:5" x14ac:dyDescent="0.2">
      <c r="B415" s="92" t="s">
        <v>1662</v>
      </c>
      <c r="D415" s="525">
        <f>D411*D413</f>
        <v>1285.714285714286</v>
      </c>
      <c r="E415" s="92" t="s">
        <v>317</v>
      </c>
    </row>
    <row r="417" spans="1:8" x14ac:dyDescent="0.2">
      <c r="A417" s="92" t="s">
        <v>2910</v>
      </c>
      <c r="C417" s="670">
        <f>(150000-150000/7*6)*6%</f>
        <v>1285.714285714286</v>
      </c>
    </row>
    <row r="419" spans="1:8" x14ac:dyDescent="0.2">
      <c r="A419" s="92" t="s">
        <v>2911</v>
      </c>
    </row>
    <row r="425" spans="1:8" x14ac:dyDescent="0.2">
      <c r="A425" s="167" t="s">
        <v>1663</v>
      </c>
      <c r="B425" s="167"/>
      <c r="C425" s="167"/>
      <c r="D425" s="167"/>
      <c r="E425" s="167"/>
      <c r="F425" s="167"/>
      <c r="G425" s="167"/>
      <c r="H425" s="167"/>
    </row>
    <row r="426" spans="1:8" x14ac:dyDescent="0.2">
      <c r="A426" s="92" t="s">
        <v>1664</v>
      </c>
    </row>
    <row r="427" spans="1:8" x14ac:dyDescent="0.2">
      <c r="A427" s="92" t="s">
        <v>1665</v>
      </c>
    </row>
    <row r="428" spans="1:8" x14ac:dyDescent="0.2">
      <c r="A428" s="92" t="s">
        <v>1666</v>
      </c>
    </row>
    <row r="429" spans="1:8" x14ac:dyDescent="0.2">
      <c r="A429" s="92" t="s">
        <v>1667</v>
      </c>
    </row>
    <row r="430" spans="1:8" x14ac:dyDescent="0.2">
      <c r="A430" s="92" t="s">
        <v>1668</v>
      </c>
    </row>
    <row r="432" spans="1:8" x14ac:dyDescent="0.2">
      <c r="A432" s="92" t="s">
        <v>326</v>
      </c>
    </row>
    <row r="433" spans="1:5" x14ac:dyDescent="0.2">
      <c r="A433" s="92" t="s">
        <v>1669</v>
      </c>
    </row>
    <row r="434" spans="1:5" x14ac:dyDescent="0.2">
      <c r="A434" s="92" t="s">
        <v>1670</v>
      </c>
    </row>
    <row r="435" spans="1:5" x14ac:dyDescent="0.2">
      <c r="A435" s="92" t="s">
        <v>1671</v>
      </c>
    </row>
    <row r="437" spans="1:5" x14ac:dyDescent="0.2">
      <c r="A437" s="92" t="s">
        <v>111</v>
      </c>
    </row>
    <row r="439" spans="1:5" x14ac:dyDescent="0.2">
      <c r="A439" s="92" t="s">
        <v>1672</v>
      </c>
    </row>
    <row r="440" spans="1:5" x14ac:dyDescent="0.2">
      <c r="A440" s="92" t="s">
        <v>1673</v>
      </c>
    </row>
    <row r="442" spans="1:5" x14ac:dyDescent="0.2">
      <c r="A442" s="92" t="s">
        <v>1674</v>
      </c>
    </row>
    <row r="443" spans="1:5" x14ac:dyDescent="0.2">
      <c r="A443" s="92" t="s">
        <v>1675</v>
      </c>
    </row>
    <row r="444" spans="1:5" x14ac:dyDescent="0.2">
      <c r="A444" s="92" t="s">
        <v>1676</v>
      </c>
    </row>
    <row r="445" spans="1:5" x14ac:dyDescent="0.2">
      <c r="A445" s="92" t="s">
        <v>1677</v>
      </c>
      <c r="E445" s="92" t="s">
        <v>1678</v>
      </c>
    </row>
    <row r="446" spans="1:5" x14ac:dyDescent="0.2">
      <c r="E446" s="92" t="s">
        <v>1679</v>
      </c>
    </row>
    <row r="448" spans="1:5" x14ac:dyDescent="0.2">
      <c r="A448" s="92" t="s">
        <v>1680</v>
      </c>
    </row>
    <row r="449" spans="1:6" x14ac:dyDescent="0.2">
      <c r="A449" s="92" t="s">
        <v>1681</v>
      </c>
    </row>
    <row r="451" spans="1:6" x14ac:dyDescent="0.2">
      <c r="A451" s="92" t="s">
        <v>1682</v>
      </c>
    </row>
    <row r="453" spans="1:6" x14ac:dyDescent="0.2">
      <c r="D453" s="132">
        <v>0.1</v>
      </c>
      <c r="E453" s="92" t="s">
        <v>374</v>
      </c>
    </row>
    <row r="454" spans="1:6" x14ac:dyDescent="0.2">
      <c r="D454" s="92">
        <v>28</v>
      </c>
      <c r="E454" s="92" t="s">
        <v>89</v>
      </c>
    </row>
    <row r="455" spans="1:6" x14ac:dyDescent="0.2">
      <c r="D455" s="92">
        <v>70000</v>
      </c>
      <c r="E455" s="92" t="s">
        <v>281</v>
      </c>
    </row>
    <row r="456" spans="1:6" x14ac:dyDescent="0.2">
      <c r="D456" s="257">
        <f>PMT(D453,D454,D455,D457)</f>
        <v>-7521.5709211310059</v>
      </c>
      <c r="E456" s="92" t="s">
        <v>91</v>
      </c>
      <c r="F456" s="92" t="s">
        <v>1683</v>
      </c>
    </row>
    <row r="457" spans="1:6" x14ac:dyDescent="0.2">
      <c r="D457" s="92">
        <v>0</v>
      </c>
      <c r="E457" s="92" t="s">
        <v>105</v>
      </c>
    </row>
    <row r="459" spans="1:6" x14ac:dyDescent="0.2">
      <c r="A459" s="92" t="s">
        <v>1684</v>
      </c>
    </row>
    <row r="460" spans="1:6" x14ac:dyDescent="0.2">
      <c r="A460" s="92" t="s">
        <v>1685</v>
      </c>
    </row>
    <row r="462" spans="1:6" x14ac:dyDescent="0.2">
      <c r="D462" s="132">
        <f>D453</f>
        <v>0.1</v>
      </c>
      <c r="E462" s="92" t="s">
        <v>374</v>
      </c>
    </row>
    <row r="463" spans="1:6" x14ac:dyDescent="0.2">
      <c r="D463" s="92">
        <v>40</v>
      </c>
      <c r="E463" s="92" t="s">
        <v>89</v>
      </c>
    </row>
    <row r="464" spans="1:6" x14ac:dyDescent="0.2">
      <c r="D464" s="523">
        <f>PV(D462,D463,D465,D466)</f>
        <v>73553.823520370905</v>
      </c>
      <c r="E464" s="92" t="s">
        <v>281</v>
      </c>
      <c r="F464" s="92" t="s">
        <v>1686</v>
      </c>
    </row>
    <row r="465" spans="1:6" x14ac:dyDescent="0.2">
      <c r="D465" s="257">
        <f>D456</f>
        <v>-7521.5709211310059</v>
      </c>
      <c r="E465" s="92" t="s">
        <v>91</v>
      </c>
    </row>
    <row r="466" spans="1:6" x14ac:dyDescent="0.2">
      <c r="D466" s="92">
        <v>0</v>
      </c>
      <c r="E466" s="92" t="s">
        <v>105</v>
      </c>
    </row>
    <row r="468" spans="1:6" x14ac:dyDescent="0.2">
      <c r="A468" s="92" t="s">
        <v>1687</v>
      </c>
    </row>
    <row r="469" spans="1:6" x14ac:dyDescent="0.2">
      <c r="A469" s="92" t="s">
        <v>1688</v>
      </c>
    </row>
    <row r="470" spans="1:6" x14ac:dyDescent="0.2">
      <c r="A470" s="92" t="s">
        <v>1689</v>
      </c>
    </row>
    <row r="471" spans="1:6" x14ac:dyDescent="0.2">
      <c r="A471" s="92" t="s">
        <v>1690</v>
      </c>
    </row>
    <row r="472" spans="1:6" x14ac:dyDescent="0.2">
      <c r="A472" s="92" t="s">
        <v>1691</v>
      </c>
      <c r="C472" s="305">
        <f>500000*1.01^5</f>
        <v>525505.02504999994</v>
      </c>
      <c r="E472" s="92" t="s">
        <v>1692</v>
      </c>
    </row>
    <row r="474" spans="1:6" x14ac:dyDescent="0.2">
      <c r="A474" s="92" t="s">
        <v>1693</v>
      </c>
    </row>
    <row r="475" spans="1:6" x14ac:dyDescent="0.2">
      <c r="A475" s="92" t="s">
        <v>1694</v>
      </c>
    </row>
    <row r="476" spans="1:6" x14ac:dyDescent="0.2">
      <c r="D476" s="132">
        <v>0.01</v>
      </c>
      <c r="E476" s="92" t="s">
        <v>374</v>
      </c>
    </row>
    <row r="477" spans="1:6" x14ac:dyDescent="0.2">
      <c r="D477" s="92">
        <v>31</v>
      </c>
      <c r="E477" s="92" t="s">
        <v>89</v>
      </c>
    </row>
    <row r="478" spans="1:6" x14ac:dyDescent="0.2">
      <c r="D478" s="305">
        <f>C472</f>
        <v>525505.02504999994</v>
      </c>
      <c r="E478" s="92" t="s">
        <v>281</v>
      </c>
    </row>
    <row r="479" spans="1:6" x14ac:dyDescent="0.2">
      <c r="D479" s="257">
        <f>PMT(D476,D477,D478,D480)</f>
        <v>-19798.785890956235</v>
      </c>
      <c r="E479" s="92" t="s">
        <v>91</v>
      </c>
      <c r="F479" s="92" t="s">
        <v>317</v>
      </c>
    </row>
    <row r="480" spans="1:6" x14ac:dyDescent="0.2">
      <c r="D480" s="92">
        <v>0</v>
      </c>
      <c r="E480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04" t="s">
        <v>2912</v>
      </c>
      <c r="B1" s="704"/>
      <c r="C1" s="704"/>
      <c r="D1" s="704"/>
      <c r="E1" s="704"/>
      <c r="F1" s="704"/>
      <c r="G1" s="704"/>
      <c r="H1" s="704"/>
    </row>
    <row r="3" spans="1:8" x14ac:dyDescent="0.2">
      <c r="A3" s="178" t="s">
        <v>1695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1696</v>
      </c>
    </row>
    <row r="5" spans="1:8" x14ac:dyDescent="0.2">
      <c r="A5" s="43" t="s">
        <v>1697</v>
      </c>
    </row>
    <row r="6" spans="1:8" x14ac:dyDescent="0.2">
      <c r="A6" s="43" t="s">
        <v>1698</v>
      </c>
    </row>
    <row r="8" spans="1:8" x14ac:dyDescent="0.2">
      <c r="A8" s="179" t="s">
        <v>1699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1700</v>
      </c>
    </row>
    <row r="10" spans="1:8" x14ac:dyDescent="0.2">
      <c r="A10" s="43" t="s">
        <v>1701</v>
      </c>
    </row>
    <row r="11" spans="1:8" x14ac:dyDescent="0.2">
      <c r="A11" s="43" t="s">
        <v>1702</v>
      </c>
    </row>
    <row r="12" spans="1:8" x14ac:dyDescent="0.2">
      <c r="A12" s="43" t="s">
        <v>1703</v>
      </c>
    </row>
    <row r="14" spans="1:8" x14ac:dyDescent="0.2">
      <c r="A14" s="179" t="s">
        <v>1704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1705</v>
      </c>
    </row>
    <row r="25" spans="1:2" x14ac:dyDescent="0.2">
      <c r="A25" s="43" t="s">
        <v>65</v>
      </c>
    </row>
    <row r="26" spans="1:2" x14ac:dyDescent="0.2">
      <c r="A26" s="47" t="s">
        <v>1514</v>
      </c>
      <c r="B26" s="43" t="s">
        <v>1706</v>
      </c>
    </row>
    <row r="27" spans="1:2" x14ac:dyDescent="0.2">
      <c r="A27" s="47" t="s">
        <v>1707</v>
      </c>
      <c r="B27" s="43" t="s">
        <v>1572</v>
      </c>
    </row>
    <row r="28" spans="1:2" x14ac:dyDescent="0.2">
      <c r="A28" s="47" t="s">
        <v>69</v>
      </c>
      <c r="B28" s="43" t="s">
        <v>1708</v>
      </c>
    </row>
    <row r="29" spans="1:2" x14ac:dyDescent="0.2">
      <c r="A29" s="47" t="s">
        <v>1709</v>
      </c>
      <c r="B29" s="43" t="s">
        <v>1710</v>
      </c>
    </row>
    <row r="30" spans="1:2" x14ac:dyDescent="0.2">
      <c r="A30" s="47" t="s">
        <v>1711</v>
      </c>
      <c r="B30" s="43" t="s">
        <v>1712</v>
      </c>
    </row>
    <row r="31" spans="1:2" x14ac:dyDescent="0.2">
      <c r="A31" s="47" t="s">
        <v>1713</v>
      </c>
      <c r="B31" s="43" t="s">
        <v>1714</v>
      </c>
    </row>
    <row r="32" spans="1:2" x14ac:dyDescent="0.2">
      <c r="A32" s="47" t="s">
        <v>1715</v>
      </c>
      <c r="B32" s="43" t="s">
        <v>1716</v>
      </c>
    </row>
    <row r="35" spans="1:8" x14ac:dyDescent="0.2">
      <c r="A35" s="180" t="s">
        <v>2915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2914</v>
      </c>
    </row>
    <row r="37" spans="1:8" x14ac:dyDescent="0.2">
      <c r="A37" s="43" t="s">
        <v>2916</v>
      </c>
    </row>
    <row r="38" spans="1:8" x14ac:dyDescent="0.2">
      <c r="A38" s="43" t="s">
        <v>2913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2917</v>
      </c>
    </row>
    <row r="43" spans="1:8" x14ac:dyDescent="0.2">
      <c r="A43" s="43" t="s">
        <v>2918</v>
      </c>
    </row>
    <row r="44" spans="1:8" x14ac:dyDescent="0.2">
      <c r="A44" s="43" t="s">
        <v>2919</v>
      </c>
    </row>
    <row r="45" spans="1:8" x14ac:dyDescent="0.2">
      <c r="A45" s="43" t="s">
        <v>2920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2921</v>
      </c>
    </row>
    <row r="52" spans="1:8" x14ac:dyDescent="0.2">
      <c r="A52" s="43" t="s">
        <v>2922</v>
      </c>
    </row>
    <row r="53" spans="1:8" x14ac:dyDescent="0.2">
      <c r="A53" s="43" t="s">
        <v>2923</v>
      </c>
    </row>
    <row r="54" spans="1:8" x14ac:dyDescent="0.2">
      <c r="A54" s="43" t="s">
        <v>2924</v>
      </c>
    </row>
    <row r="55" spans="1:8" x14ac:dyDescent="0.2">
      <c r="A55" s="43" t="s">
        <v>2925</v>
      </c>
    </row>
    <row r="56" spans="1:8" x14ac:dyDescent="0.2">
      <c r="A56" s="43" t="s">
        <v>2926</v>
      </c>
    </row>
    <row r="58" spans="1:8" x14ac:dyDescent="0.2">
      <c r="A58" s="43" t="s">
        <v>2927</v>
      </c>
    </row>
    <row r="59" spans="1:8" x14ac:dyDescent="0.2">
      <c r="A59" s="43" t="s">
        <v>2928</v>
      </c>
    </row>
    <row r="61" spans="1:8" x14ac:dyDescent="0.2">
      <c r="A61" s="44" t="s">
        <v>2929</v>
      </c>
      <c r="B61" s="44"/>
      <c r="C61" s="44"/>
      <c r="D61" s="44"/>
      <c r="E61" s="44"/>
      <c r="F61" s="44"/>
    </row>
    <row r="62" spans="1:8" x14ac:dyDescent="0.2">
      <c r="A62" s="44" t="s">
        <v>2930</v>
      </c>
      <c r="B62" s="44"/>
      <c r="C62" s="44"/>
      <c r="D62" s="44"/>
      <c r="E62" s="44"/>
      <c r="F62" s="44" t="s">
        <v>2931</v>
      </c>
    </row>
    <row r="64" spans="1:8" ht="16" x14ac:dyDescent="0.2">
      <c r="A64" s="92"/>
      <c r="B64" s="92"/>
      <c r="C64" s="172" t="s">
        <v>1514</v>
      </c>
      <c r="D64" s="172" t="s">
        <v>1598</v>
      </c>
      <c r="E64" s="527" t="s">
        <v>1516</v>
      </c>
      <c r="F64" s="172" t="s">
        <v>1517</v>
      </c>
      <c r="H64" s="43" t="s">
        <v>1717</v>
      </c>
    </row>
    <row r="65" spans="1:10" ht="16" x14ac:dyDescent="0.2">
      <c r="A65" s="169" t="s">
        <v>1495</v>
      </c>
      <c r="B65" s="169" t="s">
        <v>1496</v>
      </c>
      <c r="C65" s="169" t="s">
        <v>1497</v>
      </c>
      <c r="D65" s="169" t="s">
        <v>1498</v>
      </c>
      <c r="E65" s="169" t="s">
        <v>1499</v>
      </c>
      <c r="F65" s="169" t="s">
        <v>1500</v>
      </c>
      <c r="H65" s="43" t="s">
        <v>1718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1719</v>
      </c>
      <c r="I66" s="59"/>
      <c r="J66" s="59"/>
    </row>
    <row r="67" spans="1:10" ht="16" x14ac:dyDescent="0.2">
      <c r="A67" s="184">
        <f>A66+1</f>
        <v>1</v>
      </c>
      <c r="B67" s="529">
        <f>F66</f>
        <v>150000</v>
      </c>
      <c r="C67" s="529">
        <f>E67-D67</f>
        <v>7096.3909810507521</v>
      </c>
      <c r="D67" s="529">
        <f>H68*B67</f>
        <v>1500</v>
      </c>
      <c r="E67" s="529">
        <f>-PMT(1%,12,150000,-60000)</f>
        <v>8596.3909810507521</v>
      </c>
      <c r="F67" s="529">
        <f>B67-C67</f>
        <v>142903.60901894924</v>
      </c>
    </row>
    <row r="68" spans="1:10" ht="16" x14ac:dyDescent="0.2">
      <c r="A68" s="184">
        <f t="shared" ref="A68:A78" si="0">A67+1</f>
        <v>2</v>
      </c>
      <c r="B68" s="529">
        <f t="shared" ref="B68:B78" si="1">F67</f>
        <v>142903.60901894924</v>
      </c>
      <c r="C68" s="529">
        <f>E68-D68</f>
        <v>7167.3548908612593</v>
      </c>
      <c r="D68" s="529">
        <f>1%*B68</f>
        <v>1429.0360901894924</v>
      </c>
      <c r="E68" s="529">
        <f>E67</f>
        <v>8596.3909810507521</v>
      </c>
      <c r="F68" s="529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29">
        <f t="shared" si="1"/>
        <v>135736.25412808798</v>
      </c>
      <c r="C69" s="529">
        <f t="shared" ref="C69:C78" si="3">E69-D69</f>
        <v>7239.0284397698724</v>
      </c>
      <c r="D69" s="529">
        <f t="shared" ref="D69:D78" si="4">1%*B69</f>
        <v>1357.3625412808799</v>
      </c>
      <c r="E69" s="529">
        <f>E68</f>
        <v>8596.3909810507521</v>
      </c>
      <c r="F69" s="529">
        <f t="shared" si="2"/>
        <v>128497.22568831811</v>
      </c>
      <c r="G69" s="43" t="s">
        <v>2932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29">
        <f t="shared" si="1"/>
        <v>128497.22568831811</v>
      </c>
      <c r="C70" s="529">
        <f t="shared" si="3"/>
        <v>7311.4187241675709</v>
      </c>
      <c r="D70" s="529">
        <f t="shared" si="4"/>
        <v>1284.9722568831812</v>
      </c>
      <c r="E70" s="529">
        <f>E69</f>
        <v>8596.3909810507521</v>
      </c>
      <c r="F70" s="529">
        <f t="shared" si="2"/>
        <v>121185.80696415054</v>
      </c>
      <c r="G70" s="43" t="s">
        <v>2407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29">
        <f t="shared" si="1"/>
        <v>121185.80696415054</v>
      </c>
      <c r="C71" s="529">
        <f t="shared" si="3"/>
        <v>7384.5329114092465</v>
      </c>
      <c r="D71" s="529">
        <f t="shared" si="4"/>
        <v>1211.8580696415054</v>
      </c>
      <c r="E71" s="529">
        <f t="shared" ref="E71:E77" si="5">E70</f>
        <v>8596.3909810507521</v>
      </c>
      <c r="F71" s="529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29">
        <f t="shared" si="1"/>
        <v>113801.2740527413</v>
      </c>
      <c r="C72" s="529">
        <f t="shared" si="3"/>
        <v>7458.3782405233396</v>
      </c>
      <c r="D72" s="529">
        <f t="shared" si="4"/>
        <v>1138.0127405274129</v>
      </c>
      <c r="E72" s="529">
        <f t="shared" si="5"/>
        <v>8596.3909810507521</v>
      </c>
      <c r="F72" s="529">
        <f t="shared" si="2"/>
        <v>106342.89581221796</v>
      </c>
      <c r="G72" s="43" t="s">
        <v>2933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29">
        <f t="shared" si="1"/>
        <v>106342.89581221796</v>
      </c>
      <c r="C73" s="529">
        <f t="shared" si="3"/>
        <v>7532.962022928572</v>
      </c>
      <c r="D73" s="529">
        <f t="shared" si="4"/>
        <v>1063.4289581221797</v>
      </c>
      <c r="E73" s="529">
        <f t="shared" si="5"/>
        <v>8596.3909810507521</v>
      </c>
      <c r="F73" s="529">
        <f t="shared" si="2"/>
        <v>98809.933789289382</v>
      </c>
    </row>
    <row r="74" spans="1:10" ht="16" x14ac:dyDescent="0.2">
      <c r="A74" s="184">
        <f t="shared" si="0"/>
        <v>8</v>
      </c>
      <c r="B74" s="529">
        <f t="shared" si="1"/>
        <v>98809.933789289382</v>
      </c>
      <c r="C74" s="529">
        <f t="shared" si="3"/>
        <v>7608.2916431578578</v>
      </c>
      <c r="D74" s="529">
        <f t="shared" si="4"/>
        <v>988.0993378928938</v>
      </c>
      <c r="E74" s="529">
        <f t="shared" si="5"/>
        <v>8596.3909810507521</v>
      </c>
      <c r="F74" s="529">
        <f t="shared" si="2"/>
        <v>91201.642146131519</v>
      </c>
    </row>
    <row r="75" spans="1:10" ht="16" x14ac:dyDescent="0.2">
      <c r="A75" s="184">
        <f t="shared" si="0"/>
        <v>9</v>
      </c>
      <c r="B75" s="529">
        <f t="shared" si="1"/>
        <v>91201.642146131519</v>
      </c>
      <c r="C75" s="529">
        <f t="shared" si="3"/>
        <v>7684.374559589437</v>
      </c>
      <c r="D75" s="529">
        <f t="shared" si="4"/>
        <v>912.01642146131519</v>
      </c>
      <c r="E75" s="529">
        <f t="shared" si="5"/>
        <v>8596.3909810507521</v>
      </c>
      <c r="F75" s="529">
        <f t="shared" si="2"/>
        <v>83517.267586542075</v>
      </c>
    </row>
    <row r="76" spans="1:10" ht="16" x14ac:dyDescent="0.2">
      <c r="A76" s="184">
        <f t="shared" si="0"/>
        <v>10</v>
      </c>
      <c r="B76" s="529">
        <f t="shared" si="1"/>
        <v>83517.267586542075</v>
      </c>
      <c r="C76" s="529">
        <f t="shared" si="3"/>
        <v>7761.2183051853317</v>
      </c>
      <c r="D76" s="529">
        <f t="shared" si="4"/>
        <v>835.17267586542073</v>
      </c>
      <c r="E76" s="529">
        <f t="shared" si="5"/>
        <v>8596.3909810507521</v>
      </c>
      <c r="F76" s="529">
        <f t="shared" si="2"/>
        <v>75756.04928135674</v>
      </c>
    </row>
    <row r="77" spans="1:10" ht="16" x14ac:dyDescent="0.2">
      <c r="A77" s="184">
        <f t="shared" si="0"/>
        <v>11</v>
      </c>
      <c r="B77" s="529">
        <f t="shared" si="1"/>
        <v>75756.04928135674</v>
      </c>
      <c r="C77" s="529">
        <f t="shared" si="3"/>
        <v>7838.8304882371849</v>
      </c>
      <c r="D77" s="529">
        <f t="shared" si="4"/>
        <v>757.56049281356741</v>
      </c>
      <c r="E77" s="529">
        <f t="shared" si="5"/>
        <v>8596.3909810507521</v>
      </c>
      <c r="F77" s="529">
        <f t="shared" si="2"/>
        <v>67917.218793119551</v>
      </c>
    </row>
    <row r="78" spans="1:10" ht="16" x14ac:dyDescent="0.2">
      <c r="A78" s="184">
        <f t="shared" si="0"/>
        <v>12</v>
      </c>
      <c r="B78" s="529">
        <f t="shared" si="1"/>
        <v>67917.218793119551</v>
      </c>
      <c r="C78" s="529">
        <f t="shared" si="3"/>
        <v>67917.218793119551</v>
      </c>
      <c r="D78" s="529">
        <f t="shared" si="4"/>
        <v>679.17218793119548</v>
      </c>
      <c r="E78" s="530">
        <f>E77+60000</f>
        <v>68596.390981050747</v>
      </c>
      <c r="F78" s="529">
        <f t="shared" si="2"/>
        <v>0</v>
      </c>
    </row>
    <row r="79" spans="1:10" x14ac:dyDescent="0.2">
      <c r="A79" s="44"/>
    </row>
    <row r="80" spans="1:10" x14ac:dyDescent="0.2">
      <c r="A80" s="43" t="s">
        <v>2934</v>
      </c>
    </row>
    <row r="82" spans="1:8" x14ac:dyDescent="0.2">
      <c r="A82" s="191" t="s">
        <v>2935</v>
      </c>
      <c r="B82" s="192"/>
      <c r="C82" s="192"/>
      <c r="D82" s="192"/>
      <c r="E82" s="192"/>
      <c r="F82" s="193"/>
    </row>
    <row r="83" spans="1:8" x14ac:dyDescent="0.2">
      <c r="A83" s="196" t="s">
        <v>1720</v>
      </c>
      <c r="B83" s="59"/>
      <c r="C83" s="59"/>
      <c r="D83" s="59"/>
      <c r="E83" s="59"/>
      <c r="F83" s="197"/>
    </row>
    <row r="85" spans="1:8" x14ac:dyDescent="0.2">
      <c r="A85" s="198" t="s">
        <v>1721</v>
      </c>
      <c r="B85" s="199"/>
      <c r="C85" s="199"/>
      <c r="D85" s="199"/>
      <c r="E85" s="199"/>
      <c r="F85" s="200"/>
    </row>
    <row r="88" spans="1:8" x14ac:dyDescent="0.2">
      <c r="A88" s="180" t="s">
        <v>2938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1722</v>
      </c>
    </row>
    <row r="90" spans="1:8" x14ac:dyDescent="0.2">
      <c r="A90" s="43" t="s">
        <v>326</v>
      </c>
    </row>
    <row r="91" spans="1:8" x14ac:dyDescent="0.2">
      <c r="A91" s="43" t="s">
        <v>1723</v>
      </c>
    </row>
    <row r="92" spans="1:8" x14ac:dyDescent="0.2">
      <c r="A92" s="43" t="s">
        <v>1724</v>
      </c>
    </row>
    <row r="93" spans="1:8" x14ac:dyDescent="0.2">
      <c r="A93" s="43" t="s">
        <v>1725</v>
      </c>
    </row>
    <row r="94" spans="1:8" x14ac:dyDescent="0.2">
      <c r="A94" s="43" t="s">
        <v>1726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2936</v>
      </c>
    </row>
    <row r="98" spans="1:6" x14ac:dyDescent="0.2">
      <c r="A98" s="43" t="s">
        <v>2937</v>
      </c>
    </row>
    <row r="100" spans="1:6" ht="16" x14ac:dyDescent="0.2">
      <c r="A100" s="92"/>
      <c r="B100" s="92"/>
      <c r="C100" s="172" t="s">
        <v>1514</v>
      </c>
      <c r="D100" s="172" t="s">
        <v>1598</v>
      </c>
      <c r="E100" s="172" t="s">
        <v>1516</v>
      </c>
      <c r="F100" s="172" t="s">
        <v>1517</v>
      </c>
    </row>
    <row r="101" spans="1:6" ht="16" x14ac:dyDescent="0.2">
      <c r="A101" s="169" t="s">
        <v>1495</v>
      </c>
      <c r="B101" s="169" t="s">
        <v>1496</v>
      </c>
      <c r="C101" s="169" t="s">
        <v>1497</v>
      </c>
      <c r="D101" s="169" t="s">
        <v>1498</v>
      </c>
      <c r="E101" s="169" t="s">
        <v>1499</v>
      </c>
      <c r="F101" s="169" t="s">
        <v>1500</v>
      </c>
    </row>
    <row r="102" spans="1:6" ht="16" x14ac:dyDescent="0.2">
      <c r="A102" s="184">
        <v>0</v>
      </c>
      <c r="B102" s="671"/>
      <c r="C102" s="671"/>
      <c r="D102" s="671"/>
      <c r="E102" s="671"/>
      <c r="F102" s="529">
        <v>100000</v>
      </c>
    </row>
    <row r="103" spans="1:6" ht="16" x14ac:dyDescent="0.2">
      <c r="A103" s="184">
        <f>A102+1</f>
        <v>1</v>
      </c>
      <c r="B103" s="529">
        <f>F102</f>
        <v>100000</v>
      </c>
      <c r="C103" s="529">
        <f>F102/10</f>
        <v>10000</v>
      </c>
      <c r="D103" s="529">
        <f>7%*B103</f>
        <v>7000.0000000000009</v>
      </c>
      <c r="E103" s="529">
        <f>C103+D103</f>
        <v>17000</v>
      </c>
      <c r="F103" s="529">
        <f>B103-C103</f>
        <v>90000</v>
      </c>
    </row>
    <row r="104" spans="1:6" ht="16" x14ac:dyDescent="0.2">
      <c r="A104" s="184">
        <f t="shared" ref="A104:A112" si="6">A103+1</f>
        <v>2</v>
      </c>
      <c r="B104" s="529">
        <f t="shared" ref="B104:B112" si="7">F103</f>
        <v>90000</v>
      </c>
      <c r="C104" s="529">
        <f>C103</f>
        <v>10000</v>
      </c>
      <c r="D104" s="529">
        <f t="shared" ref="D104:D112" si="8">7%*B104</f>
        <v>6300.0000000000009</v>
      </c>
      <c r="E104" s="529">
        <f t="shared" ref="E104:E112" si="9">C104+D104</f>
        <v>16300</v>
      </c>
      <c r="F104" s="529">
        <f t="shared" ref="F104:F112" si="10">B104-C104</f>
        <v>80000</v>
      </c>
    </row>
    <row r="105" spans="1:6" ht="16" x14ac:dyDescent="0.2">
      <c r="A105" s="184">
        <f t="shared" si="6"/>
        <v>3</v>
      </c>
      <c r="B105" s="529">
        <f t="shared" si="7"/>
        <v>80000</v>
      </c>
      <c r="C105" s="529">
        <f t="shared" ref="C105:C112" si="11">C104</f>
        <v>10000</v>
      </c>
      <c r="D105" s="672">
        <f t="shared" si="8"/>
        <v>5600.0000000000009</v>
      </c>
      <c r="E105" s="529">
        <f t="shared" si="9"/>
        <v>15600</v>
      </c>
      <c r="F105" s="529">
        <f t="shared" si="10"/>
        <v>70000</v>
      </c>
    </row>
    <row r="106" spans="1:6" ht="16" x14ac:dyDescent="0.2">
      <c r="A106" s="184">
        <f t="shared" si="6"/>
        <v>4</v>
      </c>
      <c r="B106" s="529">
        <f t="shared" si="7"/>
        <v>70000</v>
      </c>
      <c r="C106" s="529">
        <f t="shared" si="11"/>
        <v>10000</v>
      </c>
      <c r="D106" s="529">
        <f t="shared" si="8"/>
        <v>4900.0000000000009</v>
      </c>
      <c r="E106" s="529">
        <f t="shared" si="9"/>
        <v>14900</v>
      </c>
      <c r="F106" s="529">
        <f t="shared" si="10"/>
        <v>60000</v>
      </c>
    </row>
    <row r="107" spans="1:6" ht="16" x14ac:dyDescent="0.2">
      <c r="A107" s="184">
        <f t="shared" si="6"/>
        <v>5</v>
      </c>
      <c r="B107" s="529">
        <f t="shared" si="7"/>
        <v>60000</v>
      </c>
      <c r="C107" s="529">
        <f t="shared" si="11"/>
        <v>10000</v>
      </c>
      <c r="D107" s="529">
        <f t="shared" si="8"/>
        <v>4200</v>
      </c>
      <c r="E107" s="529">
        <f t="shared" si="9"/>
        <v>14200</v>
      </c>
      <c r="F107" s="529">
        <f t="shared" si="10"/>
        <v>50000</v>
      </c>
    </row>
    <row r="108" spans="1:6" ht="16" x14ac:dyDescent="0.2">
      <c r="A108" s="184">
        <f t="shared" si="6"/>
        <v>6</v>
      </c>
      <c r="B108" s="529">
        <f t="shared" si="7"/>
        <v>50000</v>
      </c>
      <c r="C108" s="529">
        <f t="shared" si="11"/>
        <v>10000</v>
      </c>
      <c r="D108" s="529">
        <f t="shared" si="8"/>
        <v>3500.0000000000005</v>
      </c>
      <c r="E108" s="529">
        <f t="shared" si="9"/>
        <v>13500</v>
      </c>
      <c r="F108" s="529">
        <f t="shared" si="10"/>
        <v>40000</v>
      </c>
    </row>
    <row r="109" spans="1:6" ht="16" x14ac:dyDescent="0.2">
      <c r="A109" s="184">
        <f t="shared" si="6"/>
        <v>7</v>
      </c>
      <c r="B109" s="529">
        <f t="shared" si="7"/>
        <v>40000</v>
      </c>
      <c r="C109" s="529">
        <f t="shared" si="11"/>
        <v>10000</v>
      </c>
      <c r="D109" s="672">
        <f t="shared" si="8"/>
        <v>2800.0000000000005</v>
      </c>
      <c r="E109" s="529">
        <f t="shared" si="9"/>
        <v>12800</v>
      </c>
      <c r="F109" s="529">
        <f t="shared" si="10"/>
        <v>30000</v>
      </c>
    </row>
    <row r="110" spans="1:6" ht="16" x14ac:dyDescent="0.2">
      <c r="A110" s="184">
        <f t="shared" si="6"/>
        <v>8</v>
      </c>
      <c r="B110" s="529">
        <f t="shared" si="7"/>
        <v>30000</v>
      </c>
      <c r="C110" s="529">
        <f t="shared" si="11"/>
        <v>10000</v>
      </c>
      <c r="D110" s="529">
        <f t="shared" si="8"/>
        <v>2100</v>
      </c>
      <c r="E110" s="672">
        <f t="shared" si="9"/>
        <v>12100</v>
      </c>
      <c r="F110" s="529">
        <f t="shared" si="10"/>
        <v>20000</v>
      </c>
    </row>
    <row r="111" spans="1:6" ht="16" x14ac:dyDescent="0.2">
      <c r="A111" s="184">
        <f t="shared" si="6"/>
        <v>9</v>
      </c>
      <c r="B111" s="529">
        <f t="shared" si="7"/>
        <v>20000</v>
      </c>
      <c r="C111" s="529">
        <f t="shared" si="11"/>
        <v>10000</v>
      </c>
      <c r="D111" s="529">
        <f t="shared" si="8"/>
        <v>1400.0000000000002</v>
      </c>
      <c r="E111" s="529">
        <f t="shared" si="9"/>
        <v>11400</v>
      </c>
      <c r="F111" s="529">
        <f t="shared" si="10"/>
        <v>10000</v>
      </c>
    </row>
    <row r="112" spans="1:6" ht="16" x14ac:dyDescent="0.2">
      <c r="A112" s="184">
        <f t="shared" si="6"/>
        <v>10</v>
      </c>
      <c r="B112" s="529">
        <f t="shared" si="7"/>
        <v>10000</v>
      </c>
      <c r="C112" s="529">
        <f t="shared" si="11"/>
        <v>10000</v>
      </c>
      <c r="D112" s="529">
        <f t="shared" si="8"/>
        <v>700.00000000000011</v>
      </c>
      <c r="E112" s="529">
        <f t="shared" si="9"/>
        <v>10700</v>
      </c>
      <c r="F112" s="529">
        <f t="shared" si="10"/>
        <v>0</v>
      </c>
    </row>
    <row r="114" spans="1:10" x14ac:dyDescent="0.2">
      <c r="A114" s="185" t="s">
        <v>1729</v>
      </c>
      <c r="B114" s="87"/>
      <c r="C114" s="87"/>
    </row>
    <row r="115" spans="1:10" x14ac:dyDescent="0.2">
      <c r="H115" s="47" t="s">
        <v>1514</v>
      </c>
      <c r="I115" s="47" t="s">
        <v>1727</v>
      </c>
      <c r="J115" s="47" t="s">
        <v>1728</v>
      </c>
    </row>
    <row r="116" spans="1:10" x14ac:dyDescent="0.2">
      <c r="A116" s="43" t="s">
        <v>1730</v>
      </c>
    </row>
    <row r="118" spans="1:10" x14ac:dyDescent="0.2">
      <c r="A118" s="43" t="s">
        <v>1731</v>
      </c>
    </row>
    <row r="120" spans="1:10" x14ac:dyDescent="0.2">
      <c r="A120" s="43" t="s">
        <v>1732</v>
      </c>
    </row>
    <row r="122" spans="1:10" x14ac:dyDescent="0.2">
      <c r="A122" s="43" t="s">
        <v>1733</v>
      </c>
    </row>
    <row r="125" spans="1:10" x14ac:dyDescent="0.2">
      <c r="A125" s="185" t="s">
        <v>1734</v>
      </c>
    </row>
    <row r="128" spans="1:10" x14ac:dyDescent="0.2">
      <c r="C128" s="711">
        <f>7%*30000+10000</f>
        <v>12100</v>
      </c>
    </row>
    <row r="129" spans="1:8" x14ac:dyDescent="0.2">
      <c r="C129" s="711"/>
    </row>
    <row r="131" spans="1:8" x14ac:dyDescent="0.2">
      <c r="A131" s="185" t="s">
        <v>1735</v>
      </c>
    </row>
    <row r="132" spans="1:8" x14ac:dyDescent="0.2">
      <c r="A132" s="43" t="s">
        <v>1736</v>
      </c>
    </row>
    <row r="138" spans="1:8" x14ac:dyDescent="0.2">
      <c r="A138" s="180" t="s">
        <v>2939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1737</v>
      </c>
    </row>
    <row r="140" spans="1:8" x14ac:dyDescent="0.2">
      <c r="A140" s="43" t="s">
        <v>1738</v>
      </c>
    </row>
    <row r="141" spans="1:8" x14ac:dyDescent="0.2">
      <c r="A141" s="43" t="s">
        <v>1739</v>
      </c>
    </row>
    <row r="142" spans="1:8" x14ac:dyDescent="0.2">
      <c r="A142" s="43" t="s">
        <v>1740</v>
      </c>
    </row>
    <row r="144" spans="1:8" x14ac:dyDescent="0.2">
      <c r="A144" s="44" t="s">
        <v>1741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1742</v>
      </c>
    </row>
    <row r="146" spans="1:6" x14ac:dyDescent="0.2">
      <c r="A146" s="43" t="s">
        <v>1743</v>
      </c>
    </row>
    <row r="148" spans="1:6" x14ac:dyDescent="0.2">
      <c r="A148" s="43" t="s">
        <v>2940</v>
      </c>
    </row>
    <row r="149" spans="1:6" x14ac:dyDescent="0.2">
      <c r="A149" s="43" t="s">
        <v>1744</v>
      </c>
    </row>
    <row r="150" spans="1:6" x14ac:dyDescent="0.2">
      <c r="A150" s="43" t="s">
        <v>1745</v>
      </c>
    </row>
    <row r="152" spans="1:6" x14ac:dyDescent="0.2">
      <c r="D152" s="316" t="s">
        <v>1746</v>
      </c>
      <c r="E152" s="316" t="s">
        <v>1747</v>
      </c>
    </row>
    <row r="153" spans="1:6" x14ac:dyDescent="0.2">
      <c r="D153" s="531" t="s">
        <v>1748</v>
      </c>
      <c r="E153" s="531" t="s">
        <v>1749</v>
      </c>
    </row>
    <row r="154" spans="1:6" x14ac:dyDescent="0.2">
      <c r="D154" s="448">
        <f>E154</f>
        <v>0.01</v>
      </c>
      <c r="E154" s="673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1626</v>
      </c>
      <c r="D157" s="674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501">
        <f>FV(E154,E155,E157,E156)</f>
        <v>-210202.01001999999</v>
      </c>
      <c r="F158" s="43" t="s">
        <v>105</v>
      </c>
    </row>
    <row r="160" spans="1:6" x14ac:dyDescent="0.2">
      <c r="A160" s="43" t="s">
        <v>1750</v>
      </c>
    </row>
    <row r="161" spans="1:8" ht="16" x14ac:dyDescent="0.2">
      <c r="A161" s="92"/>
      <c r="B161" s="92"/>
      <c r="C161" s="187" t="s">
        <v>1514</v>
      </c>
      <c r="D161" s="187" t="s">
        <v>1598</v>
      </c>
      <c r="E161" s="187" t="s">
        <v>1516</v>
      </c>
      <c r="F161" s="187" t="s">
        <v>1517</v>
      </c>
    </row>
    <row r="162" spans="1:8" ht="16" x14ac:dyDescent="0.2">
      <c r="A162" s="169" t="s">
        <v>1495</v>
      </c>
      <c r="B162" s="169" t="s">
        <v>1496</v>
      </c>
      <c r="C162" s="169" t="s">
        <v>1497</v>
      </c>
      <c r="D162" s="169" t="s">
        <v>1498</v>
      </c>
      <c r="E162" s="169" t="s">
        <v>1499</v>
      </c>
      <c r="F162" s="169" t="s">
        <v>1500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1751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1752</v>
      </c>
    </row>
    <row r="174" spans="1:8" x14ac:dyDescent="0.2">
      <c r="A174" s="43" t="s">
        <v>1753</v>
      </c>
    </row>
    <row r="175" spans="1:8" x14ac:dyDescent="0.2">
      <c r="A175" s="43" t="s">
        <v>1754</v>
      </c>
    </row>
    <row r="177" spans="1:6" x14ac:dyDescent="0.2">
      <c r="A177" s="43" t="s">
        <v>111</v>
      </c>
    </row>
    <row r="178" spans="1:6" x14ac:dyDescent="0.2">
      <c r="A178" s="43" t="s">
        <v>1755</v>
      </c>
    </row>
    <row r="179" spans="1:6" x14ac:dyDescent="0.2">
      <c r="A179" s="43" t="s">
        <v>1756</v>
      </c>
    </row>
    <row r="181" spans="1:6" x14ac:dyDescent="0.2">
      <c r="E181" s="316" t="s">
        <v>1747</v>
      </c>
    </row>
    <row r="182" spans="1:6" x14ac:dyDescent="0.2">
      <c r="E182" s="531" t="s">
        <v>1749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1757</v>
      </c>
      <c r="B187" s="67"/>
      <c r="C187" s="67"/>
      <c r="D187" s="67"/>
      <c r="E187" s="532">
        <f>FV(E183,E184,E186,E185)</f>
        <v>-210202.01001999999</v>
      </c>
      <c r="F187" s="208" t="s">
        <v>105</v>
      </c>
    </row>
    <row r="189" spans="1:6" x14ac:dyDescent="0.2">
      <c r="A189" s="43" t="s">
        <v>2941</v>
      </c>
    </row>
    <row r="191" spans="1:6" x14ac:dyDescent="0.2">
      <c r="A191" s="185" t="s">
        <v>1758</v>
      </c>
    </row>
    <row r="193" spans="1:7" x14ac:dyDescent="0.2">
      <c r="F193" s="43" t="s">
        <v>1759</v>
      </c>
    </row>
    <row r="194" spans="1:7" x14ac:dyDescent="0.2">
      <c r="A194" s="44" t="s">
        <v>196</v>
      </c>
      <c r="B194" s="44"/>
      <c r="C194" s="534">
        <f>210202*1%+210202/55</f>
        <v>5923.874545454546</v>
      </c>
      <c r="F194" s="43" t="s">
        <v>1760</v>
      </c>
    </row>
    <row r="196" spans="1:7" x14ac:dyDescent="0.2">
      <c r="D196" s="43" t="s">
        <v>2943</v>
      </c>
      <c r="F196" s="43" t="s">
        <v>2942</v>
      </c>
    </row>
    <row r="197" spans="1:7" x14ac:dyDescent="0.2">
      <c r="D197" s="43" t="s">
        <v>2944</v>
      </c>
    </row>
    <row r="199" spans="1:7" x14ac:dyDescent="0.2">
      <c r="A199" s="185" t="s">
        <v>1761</v>
      </c>
    </row>
    <row r="200" spans="1:7" x14ac:dyDescent="0.2">
      <c r="A200" s="43" t="s">
        <v>2945</v>
      </c>
    </row>
    <row r="202" spans="1:7" x14ac:dyDescent="0.2">
      <c r="F202" s="43" t="s">
        <v>1762</v>
      </c>
    </row>
    <row r="203" spans="1:7" x14ac:dyDescent="0.2">
      <c r="C203" s="533">
        <f>210202/55*52*1%+210202/55</f>
        <v>5809.2189090909096</v>
      </c>
      <c r="F203" s="43" t="s">
        <v>1763</v>
      </c>
    </row>
    <row r="205" spans="1:7" x14ac:dyDescent="0.2">
      <c r="C205" s="43" t="s">
        <v>2943</v>
      </c>
      <c r="E205" s="43" t="s">
        <v>2946</v>
      </c>
    </row>
    <row r="206" spans="1:7" x14ac:dyDescent="0.2">
      <c r="C206" s="43" t="s">
        <v>2954</v>
      </c>
      <c r="E206" s="43" t="s">
        <v>2947</v>
      </c>
    </row>
    <row r="207" spans="1:7" x14ac:dyDescent="0.2">
      <c r="C207" s="43" t="s">
        <v>2944</v>
      </c>
      <c r="E207" s="43" t="s">
        <v>2948</v>
      </c>
      <c r="G207" s="43" t="s">
        <v>2950</v>
      </c>
    </row>
    <row r="208" spans="1:7" x14ac:dyDescent="0.2">
      <c r="E208" s="43" t="s">
        <v>2949</v>
      </c>
      <c r="G208" s="43" t="s">
        <v>2951</v>
      </c>
    </row>
    <row r="209" spans="1:8" x14ac:dyDescent="0.2">
      <c r="E209" s="43" t="s">
        <v>2952</v>
      </c>
      <c r="G209" s="43" t="s">
        <v>2953</v>
      </c>
    </row>
    <row r="212" spans="1:8" x14ac:dyDescent="0.2">
      <c r="A212" s="43" t="s">
        <v>1764</v>
      </c>
    </row>
    <row r="213" spans="1:8" ht="16" x14ac:dyDescent="0.2">
      <c r="A213" s="92"/>
      <c r="B213" s="92"/>
      <c r="C213" s="187" t="s">
        <v>1514</v>
      </c>
      <c r="D213" s="187" t="s">
        <v>1598</v>
      </c>
      <c r="E213" s="187" t="s">
        <v>1516</v>
      </c>
      <c r="F213" s="187" t="s">
        <v>1517</v>
      </c>
    </row>
    <row r="214" spans="1:8" ht="16" x14ac:dyDescent="0.2">
      <c r="A214" s="169" t="s">
        <v>1495</v>
      </c>
      <c r="B214" s="169" t="s">
        <v>1496</v>
      </c>
      <c r="C214" s="169" t="s">
        <v>1497</v>
      </c>
      <c r="D214" s="169" t="s">
        <v>1498</v>
      </c>
      <c r="E214" s="169" t="s">
        <v>1499</v>
      </c>
      <c r="F214" s="169" t="s">
        <v>1500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1765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1766</v>
      </c>
    </row>
    <row r="226" spans="1:7" x14ac:dyDescent="0.2">
      <c r="A226" s="43" t="s">
        <v>1767</v>
      </c>
    </row>
    <row r="227" spans="1:7" x14ac:dyDescent="0.2">
      <c r="A227" s="43" t="s">
        <v>1768</v>
      </c>
    </row>
    <row r="229" spans="1:7" x14ac:dyDescent="0.2">
      <c r="A229" s="43" t="s">
        <v>111</v>
      </c>
    </row>
    <row r="230" spans="1:7" x14ac:dyDescent="0.2">
      <c r="A230" s="43" t="s">
        <v>2955</v>
      </c>
    </row>
    <row r="231" spans="1:7" x14ac:dyDescent="0.2">
      <c r="A231" s="43" t="s">
        <v>2956</v>
      </c>
    </row>
    <row r="233" spans="1:7" ht="34" x14ac:dyDescent="0.2">
      <c r="A233" s="92"/>
      <c r="B233" s="92"/>
      <c r="C233" s="187" t="s">
        <v>1514</v>
      </c>
      <c r="D233" s="188" t="s">
        <v>1769</v>
      </c>
      <c r="E233" s="187" t="s">
        <v>1516</v>
      </c>
      <c r="F233" s="187" t="s">
        <v>1517</v>
      </c>
    </row>
    <row r="234" spans="1:7" ht="16" x14ac:dyDescent="0.2">
      <c r="A234" s="169" t="s">
        <v>1495</v>
      </c>
      <c r="B234" s="169" t="s">
        <v>1496</v>
      </c>
      <c r="C234" s="169" t="s">
        <v>1497</v>
      </c>
      <c r="D234" s="169" t="s">
        <v>1498</v>
      </c>
      <c r="E234" s="169" t="s">
        <v>1499</v>
      </c>
      <c r="F234" s="169" t="s">
        <v>1500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758</v>
      </c>
      <c r="G235" s="43" t="s">
        <v>2907</v>
      </c>
    </row>
    <row r="236" spans="1:7" ht="16" x14ac:dyDescent="0.2">
      <c r="A236" s="184">
        <f>A235+1</f>
        <v>1</v>
      </c>
      <c r="B236" s="529"/>
      <c r="C236" s="529">
        <v>0</v>
      </c>
      <c r="D236" s="529">
        <v>0</v>
      </c>
      <c r="E236" s="529">
        <v>0</v>
      </c>
      <c r="F236" s="529"/>
    </row>
    <row r="237" spans="1:7" ht="16" x14ac:dyDescent="0.2">
      <c r="A237" s="184">
        <f t="shared" ref="A237:A241" si="18">A236+1</f>
        <v>2</v>
      </c>
      <c r="B237" s="529"/>
      <c r="C237" s="529">
        <v>0</v>
      </c>
      <c r="D237" s="529">
        <v>0</v>
      </c>
      <c r="E237" s="529">
        <v>0</v>
      </c>
      <c r="F237" s="529"/>
    </row>
    <row r="238" spans="1:7" ht="16" x14ac:dyDescent="0.2">
      <c r="A238" s="184">
        <f t="shared" si="18"/>
        <v>3</v>
      </c>
      <c r="B238" s="529"/>
      <c r="C238" s="529">
        <v>0</v>
      </c>
      <c r="D238" s="529">
        <v>0</v>
      </c>
      <c r="E238" s="529">
        <v>0</v>
      </c>
      <c r="F238" s="529"/>
    </row>
    <row r="239" spans="1:7" ht="16" x14ac:dyDescent="0.2">
      <c r="A239" s="184">
        <f t="shared" si="18"/>
        <v>4</v>
      </c>
      <c r="B239" s="529"/>
      <c r="C239" s="529">
        <v>0</v>
      </c>
      <c r="D239" s="529">
        <v>0</v>
      </c>
      <c r="E239" s="529">
        <v>0</v>
      </c>
      <c r="F239" s="529"/>
    </row>
    <row r="240" spans="1:7" ht="16" x14ac:dyDescent="0.2">
      <c r="A240" s="184">
        <f t="shared" si="18"/>
        <v>5</v>
      </c>
      <c r="B240" s="529"/>
      <c r="C240" s="529">
        <v>0</v>
      </c>
      <c r="D240" s="529">
        <v>0</v>
      </c>
      <c r="E240" s="529">
        <v>0</v>
      </c>
      <c r="F240" s="529"/>
    </row>
    <row r="241" spans="1:9" ht="16" x14ac:dyDescent="0.2">
      <c r="A241" s="184">
        <f t="shared" si="18"/>
        <v>6</v>
      </c>
      <c r="B241" s="529"/>
      <c r="C241" s="529">
        <v>0</v>
      </c>
      <c r="D241" s="529">
        <v>0</v>
      </c>
      <c r="E241" s="529">
        <v>0</v>
      </c>
      <c r="F241" s="535">
        <f>B242</f>
        <v>1500000</v>
      </c>
      <c r="G241" s="43" t="s">
        <v>586</v>
      </c>
    </row>
    <row r="242" spans="1:9" ht="16" x14ac:dyDescent="0.2">
      <c r="A242" s="184">
        <f>A241+1</f>
        <v>7</v>
      </c>
      <c r="B242" s="535">
        <v>1500000</v>
      </c>
      <c r="C242" s="529"/>
      <c r="D242" s="529">
        <v>15000</v>
      </c>
      <c r="E242" s="293"/>
      <c r="F242" s="529"/>
      <c r="I242" s="43" t="s">
        <v>2957</v>
      </c>
    </row>
    <row r="243" spans="1:9" x14ac:dyDescent="0.2">
      <c r="I243" s="43" t="s">
        <v>2958</v>
      </c>
    </row>
    <row r="244" spans="1:9" x14ac:dyDescent="0.2">
      <c r="A244" s="43" t="s">
        <v>1770</v>
      </c>
    </row>
    <row r="245" spans="1:9" x14ac:dyDescent="0.2">
      <c r="A245" s="43" t="s">
        <v>1771</v>
      </c>
    </row>
    <row r="250" spans="1:9" x14ac:dyDescent="0.2">
      <c r="A250" s="43" t="s">
        <v>1772</v>
      </c>
    </row>
    <row r="251" spans="1:9" x14ac:dyDescent="0.2">
      <c r="A251" s="43" t="s">
        <v>1773</v>
      </c>
    </row>
    <row r="252" spans="1:9" x14ac:dyDescent="0.2">
      <c r="A252" s="43" t="s">
        <v>1774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1775</v>
      </c>
      <c r="D255" s="47">
        <v>6</v>
      </c>
      <c r="E255" s="43" t="s">
        <v>89</v>
      </c>
    </row>
    <row r="256" spans="1:9" ht="16" x14ac:dyDescent="0.2">
      <c r="A256" s="43" t="s">
        <v>1776</v>
      </c>
      <c r="D256" s="190">
        <f>PV(D254,D255,D257,D258)</f>
        <v>-1413067.8528813098</v>
      </c>
      <c r="E256" s="43" t="s">
        <v>281</v>
      </c>
      <c r="F256" s="43" t="s">
        <v>1777</v>
      </c>
    </row>
    <row r="257" spans="1:7" x14ac:dyDescent="0.2">
      <c r="A257" s="43" t="s">
        <v>1778</v>
      </c>
      <c r="D257" s="47">
        <v>0</v>
      </c>
      <c r="E257" s="43" t="s">
        <v>91</v>
      </c>
    </row>
    <row r="258" spans="1:7" x14ac:dyDescent="0.2">
      <c r="A258" s="43" t="s">
        <v>1779</v>
      </c>
      <c r="D258" s="48">
        <f>F241</f>
        <v>1500000</v>
      </c>
      <c r="E258" s="43" t="s">
        <v>105</v>
      </c>
    </row>
    <row r="260" spans="1:7" x14ac:dyDescent="0.2">
      <c r="A260" s="191" t="s">
        <v>1780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1781</v>
      </c>
      <c r="G261" s="195"/>
    </row>
    <row r="262" spans="1:7" x14ac:dyDescent="0.2">
      <c r="A262" s="196" t="s">
        <v>1782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2959</v>
      </c>
      <c r="D266" s="43" t="s">
        <v>2960</v>
      </c>
      <c r="E266" s="43" t="s">
        <v>2964</v>
      </c>
    </row>
    <row r="267" spans="1:7" x14ac:dyDescent="0.2">
      <c r="D267" s="43" t="s">
        <v>2961</v>
      </c>
      <c r="E267" s="43" t="s">
        <v>2965</v>
      </c>
    </row>
    <row r="268" spans="1:7" x14ac:dyDescent="0.2">
      <c r="D268" s="43" t="s">
        <v>2962</v>
      </c>
      <c r="E268" s="43" t="s">
        <v>2966</v>
      </c>
    </row>
    <row r="269" spans="1:7" x14ac:dyDescent="0.2">
      <c r="D269" s="43" t="s">
        <v>2963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Tsaban Shay</cp:lastModifiedBy>
  <cp:revision/>
  <dcterms:created xsi:type="dcterms:W3CDTF">2018-12-12T18:34:35Z</dcterms:created>
  <dcterms:modified xsi:type="dcterms:W3CDTF">2025-03-26T10:25:24Z</dcterms:modified>
  <cp:category/>
  <cp:contentStatus/>
</cp:coreProperties>
</file>